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588" windowWidth="14976" windowHeight="6480" activeTab="0"/>
  </bookViews>
  <sheets>
    <sheet name="2017-ST-IR" sheetId="1" r:id="rId1"/>
  </sheets>
  <definedNames>
    <definedName name="_xlnm.Print_Area" localSheetId="0">'2017-ST-IR'!$A$1:$Y$80</definedName>
    <definedName name="Production">'2017-ST-IR'!$AH$4:$AH$5</definedName>
    <definedName name="row">'2017-ST-IR'!$AI$4:$AI$6</definedName>
    <definedName name="Technology">'2017-ST-IR'!$AF$5:$AF$8</definedName>
    <definedName name="Tillage">'2017-ST-IR'!$AG$4:$AG$6</definedName>
  </definedNames>
  <calcPr fullCalcOnLoad="1"/>
</workbook>
</file>

<file path=xl/sharedStrings.xml><?xml version="1.0" encoding="utf-8"?>
<sst xmlns="http://schemas.openxmlformats.org/spreadsheetml/2006/main" count="195" uniqueCount="147">
  <si>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</si>
  <si>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</si>
  <si>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</si>
  <si>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</si>
  <si>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</si>
  <si>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</si>
  <si>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</si>
  <si>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</si>
  <si>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</si>
  <si>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</si>
  <si>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</si>
  <si>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</si>
  <si>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</si>
  <si>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</si>
  <si>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</si>
  <si>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</si>
  <si>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</si>
  <si>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</si>
  <si>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</si>
  <si>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</si>
  <si>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</si>
  <si>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</si>
  <si>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</si>
  <si>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</si>
  <si>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</si>
  <si>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</si>
  <si>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</si>
  <si>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</si>
  <si>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</si>
  <si>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</si>
  <si>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</si>
  <si>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</si>
  <si>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</si>
  <si>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</si>
  <si>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</si>
  <si>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</si>
  <si>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</si>
  <si>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</si>
  <si>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</si>
  <si>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</si>
  <si>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</si>
  <si>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</si>
  <si>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</si>
  <si>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</si>
  <si>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</si>
  <si>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</si>
  <si>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</si>
  <si>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</si>
  <si>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</si>
  <si>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</si>
  <si>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</si>
  <si>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</si>
  <si>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</si>
  <si>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</si>
  <si>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</si>
  <si>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</si>
  <si>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</si>
  <si>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</si>
  <si>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</si>
  <si>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</si>
  <si>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</si>
  <si>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</si>
  <si>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</si>
  <si>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</si>
  <si>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</si>
  <si>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</si>
  <si>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</si>
  <si>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</si>
  <si>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</si>
  <si>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</si>
  <si>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</si>
  <si>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</si>
  <si>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</si>
  <si>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</si>
  <si>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</si>
  <si>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</si>
  <si>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</si>
  <si>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</si>
  <si>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</si>
  <si>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</si>
  <si>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</si>
  <si>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</si>
  <si>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</si>
  <si>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</si>
  <si>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</si>
  <si>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</si>
  <si>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</si>
  <si>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</si>
  <si>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</si>
  <si>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>Developed by Don Shurley and Amanda Smith, Department of Agricultural and Applied Economics, University of Georgia.</t>
  </si>
  <si>
    <t>Developed by Don Shurley and Amanda Smith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</si>
  <si>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</si>
  <si>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</si>
  <si>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</si>
  <si>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</si>
  <si>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</si>
  <si>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</si>
  <si>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</si>
  <si>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</si>
  <si>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</si>
  <si>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</si>
  <si>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</si>
  <si>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</si>
  <si>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</si>
  <si>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</si>
  <si>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</si>
  <si>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</si>
  <si>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</si>
  <si>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</si>
  <si>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</si>
  <si>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</si>
  <si>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</si>
  <si>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</si>
  <si>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</si>
  <si>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</si>
  <si>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</si>
  <si>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</si>
  <si>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</si>
  <si>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</si>
  <si>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</si>
  <si>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</si>
  <si>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</si>
  <si>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</si>
  <si>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</si>
  <si>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</si>
  <si>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</si>
  <si>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</si>
  <si>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</si>
  <si>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</si>
  <si>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</si>
  <si>
    <t>Avg Price **</t>
  </si>
  <si>
    <t>2017 ESTIMATED PER ACRE COSTS AND RETURNS, SOUTH AND EAST GEORGIA</t>
  </si>
  <si>
    <t>*B2RF, B2XF, WRF, GLT, or GLB2</t>
  </si>
  <si>
    <t>Crop Insurance (Excluding STAX)</t>
  </si>
  <si>
    <r>
      <t xml:space="preserve">Seed </t>
    </r>
    <r>
      <rPr>
        <sz val="9"/>
        <rFont val="Arial"/>
        <family val="2"/>
      </rPr>
      <t>(Including Tech Fees and Seed Treatments)</t>
    </r>
  </si>
  <si>
    <t>** Planning or budget price based on futures prices and outlook as of February 2017.  Includes adjustments for fiber quality.</t>
  </si>
  <si>
    <t>February 2017</t>
  </si>
  <si>
    <t>Funding support provided by the Georgia Cotton Commission</t>
  </si>
  <si>
    <t>230 HP</t>
  </si>
  <si>
    <t>190 HP</t>
  </si>
  <si>
    <t>110 HP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</si>
  <si>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</si>
  <si>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</si>
  <si>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COTTON- Strip-Till, Irrigated</t>
  </si>
  <si>
    <t>Irrigated</t>
  </si>
  <si>
    <t>Irrigation</t>
  </si>
  <si>
    <t xml:space="preserve">* This does not constitute a recommendation of technologies.  These were the technologies most widely planted in GA in 2016. 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</si>
</sst>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&quot;$&quot;#,##0.00"/>
    <numFmt numFmtId="169" formatCode="_(* #,##0.0_);_(* \(#,##0.0\);_(* &quot;-&quot;??_);_(@_)"/>
    <numFmt numFmtId="170" formatCode="_(* #,##0_);_(* \(#,##0\);_(* &quot;-&quot;??_);_(@_)"/>
    <numFmt numFmtId="171" formatCode="&quot;$&quot;#,##0.0"/>
    <numFmt numFmtId="172" formatCode="&quot;$&quot;#,##0"/>
    <numFmt numFmtId="173" formatCode="0.000000000"/>
    <numFmt numFmtId="174" formatCode="0.00000000"/>
    <numFmt numFmtId="175" formatCode="0.0000000"/>
    <numFmt numFmtId="176" formatCode="0.000000"/>
    <numFmt numFmtId="177" formatCode="&quot;$&quot;#,##0.0_);\(&quot;$&quot;#,##0.0\)"/>
    <numFmt numFmtId="178" formatCode="&quot;$&quot;#,##0.000_);\(&quot;$&quot;#,##0.000\)"/>
    <numFmt numFmtId="179" formatCode="&quot;$&quot;#,##0.000"/>
    <numFmt numFmtId="180" formatCode="#,##0.0"/>
    <numFmt numFmtId="181" formatCode="0.0%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$&quot;#,##0.00;[Red]&quot;$&quot;#,##0.00"/>
  </numFmts>
  <fonts count="6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53"/>
      <name val="Arial"/>
      <family val="2"/>
    </font>
    <font>
      <b/>
      <i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000396251678"/>
      <name val="Arial"/>
      <family val="2"/>
    </font>
    <font>
      <b/>
      <i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>
      <alignment/>
    </xf>
    <xf numFmtId="2" fontId="2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2" fontId="10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right"/>
      <protection/>
    </xf>
    <xf numFmtId="2" fontId="10" fillId="33" borderId="0" xfId="0" applyNumberFormat="1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2" fontId="11" fillId="33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6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4" fontId="0" fillId="0" borderId="0" xfId="45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 quotePrefix="1">
      <alignment/>
    </xf>
    <xf numFmtId="16" fontId="15" fillId="34" borderId="0" xfId="0" applyNumberFormat="1" applyFont="1" applyFill="1" applyBorder="1" applyAlignment="1" applyProtection="1" quotePrefix="1">
      <alignment horizontal="right"/>
      <protection/>
    </xf>
    <xf numFmtId="0" fontId="18" fillId="34" borderId="0" xfId="0" applyFont="1" applyFill="1" applyBorder="1" applyAlignment="1" applyProtection="1">
      <alignment/>
      <protection/>
    </xf>
    <xf numFmtId="0" fontId="17" fillId="34" borderId="0" xfId="0" applyFont="1" applyFill="1" applyBorder="1" applyAlignment="1" applyProtection="1">
      <alignment/>
      <protection/>
    </xf>
    <xf numFmtId="0" fontId="16" fillId="34" borderId="0" xfId="0" applyFont="1" applyFill="1" applyBorder="1" applyAlignment="1" applyProtection="1">
      <alignment/>
      <protection/>
    </xf>
    <xf numFmtId="0" fontId="16" fillId="33" borderId="0" xfId="0" applyFont="1" applyFill="1" applyBorder="1" applyAlignment="1" applyProtection="1">
      <alignment/>
      <protection/>
    </xf>
    <xf numFmtId="0" fontId="9" fillId="35" borderId="0" xfId="0" applyFont="1" applyFill="1" applyBorder="1" applyAlignment="1" applyProtection="1">
      <alignment/>
      <protection/>
    </xf>
    <xf numFmtId="0" fontId="10" fillId="35" borderId="0" xfId="0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 applyProtection="1">
      <alignment/>
      <protection/>
    </xf>
    <xf numFmtId="0" fontId="58" fillId="33" borderId="0" xfId="0" applyFont="1" applyFill="1" applyAlignment="1" applyProtection="1">
      <alignment horizontal="right"/>
      <protection hidden="1"/>
    </xf>
    <xf numFmtId="0" fontId="0" fillId="35" borderId="0" xfId="0" applyFill="1" applyBorder="1" applyAlignment="1">
      <alignment/>
    </xf>
    <xf numFmtId="0" fontId="0" fillId="35" borderId="0" xfId="0" applyFill="1" applyBorder="1" applyAlignment="1" applyProtection="1">
      <alignment/>
      <protection/>
    </xf>
    <xf numFmtId="0" fontId="1" fillId="35" borderId="0" xfId="0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60" fillId="33" borderId="0" xfId="0" applyFont="1" applyFill="1" applyAlignment="1" applyProtection="1">
      <alignment/>
      <protection/>
    </xf>
    <xf numFmtId="0" fontId="14" fillId="35" borderId="0" xfId="0" applyFont="1" applyFill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16" fontId="15" fillId="36" borderId="0" xfId="0" applyNumberFormat="1" applyFont="1" applyFill="1" applyBorder="1" applyAlignment="1" applyProtection="1" quotePrefix="1">
      <alignment horizontal="right"/>
      <protection/>
    </xf>
    <xf numFmtId="0" fontId="16" fillId="33" borderId="0" xfId="0" applyFont="1" applyFill="1" applyAlignment="1" applyProtection="1">
      <alignment horizontal="right"/>
      <protection hidden="1"/>
    </xf>
    <xf numFmtId="2" fontId="0" fillId="33" borderId="0" xfId="0" applyNumberFormat="1" applyFill="1" applyAlignment="1" applyProtection="1">
      <alignment/>
      <protection/>
    </xf>
    <xf numFmtId="2" fontId="59" fillId="0" borderId="0" xfId="0" applyNumberFormat="1" applyFont="1" applyAlignment="1" applyProtection="1">
      <alignment/>
      <protection/>
    </xf>
    <xf numFmtId="166" fontId="58" fillId="33" borderId="0" xfId="0" applyNumberFormat="1" applyFont="1" applyFill="1" applyAlignment="1" applyProtection="1">
      <alignment/>
      <protection/>
    </xf>
    <xf numFmtId="2" fontId="58" fillId="35" borderId="0" xfId="0" applyNumberFormat="1" applyFont="1" applyFill="1" applyAlignment="1" applyProtection="1">
      <alignment/>
      <protection/>
    </xf>
    <xf numFmtId="0" fontId="61" fillId="33" borderId="0" xfId="0" applyFont="1" applyFill="1" applyAlignment="1" applyProtection="1">
      <alignment/>
      <protection/>
    </xf>
    <xf numFmtId="0" fontId="1" fillId="35" borderId="10" xfId="0" applyFont="1" applyFill="1" applyBorder="1" applyAlignment="1" applyProtection="1">
      <alignment/>
      <protection locked="0"/>
    </xf>
    <xf numFmtId="0" fontId="0" fillId="35" borderId="10" xfId="0" applyFont="1" applyFill="1" applyBorder="1" applyAlignment="1" applyProtection="1">
      <alignment/>
      <protection locked="0"/>
    </xf>
    <xf numFmtId="2" fontId="0" fillId="35" borderId="10" xfId="0" applyNumberFormat="1" applyFont="1" applyFill="1" applyBorder="1" applyAlignment="1" applyProtection="1">
      <alignment/>
      <protection locked="0"/>
    </xf>
    <xf numFmtId="188" fontId="12" fillId="35" borderId="10" xfId="45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/>
      <protection locked="0"/>
    </xf>
    <xf numFmtId="164" fontId="10" fillId="35" borderId="10" xfId="0" applyNumberFormat="1" applyFont="1" applyFill="1" applyBorder="1" applyAlignment="1" applyProtection="1">
      <alignment/>
      <protection locked="0"/>
    </xf>
    <xf numFmtId="2" fontId="10" fillId="35" borderId="10" xfId="0" applyNumberFormat="1" applyFont="1" applyFill="1" applyBorder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/>
      <protection locked="0"/>
    </xf>
    <xf numFmtId="1" fontId="10" fillId="35" borderId="10" xfId="0" applyNumberFormat="1" applyFont="1" applyFill="1" applyBorder="1" applyAlignment="1" applyProtection="1">
      <alignment/>
      <protection locked="0"/>
    </xf>
    <xf numFmtId="0" fontId="6" fillId="35" borderId="10" xfId="0" applyFont="1" applyFill="1" applyBorder="1" applyAlignment="1" applyProtection="1">
      <alignment horizontal="right" vertical="center"/>
      <protection locked="0"/>
    </xf>
    <xf numFmtId="2" fontId="6" fillId="35" borderId="10" xfId="0" applyNumberFormat="1" applyFont="1" applyFill="1" applyBorder="1" applyAlignment="1" applyProtection="1">
      <alignment horizontal="right" vertical="center"/>
      <protection locked="0"/>
    </xf>
    <xf numFmtId="0" fontId="5" fillId="35" borderId="10" xfId="0" applyFont="1" applyFill="1" applyBorder="1" applyAlignment="1" applyProtection="1">
      <alignment horizontal="right" vertical="center"/>
      <protection locked="0"/>
    </xf>
    <xf numFmtId="165" fontId="5" fillId="35" borderId="10" xfId="0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 horizontal="right" vertical="center"/>
      <protection locked="0"/>
    </xf>
    <xf numFmtId="10" fontId="5" fillId="35" borderId="10" xfId="62" applyNumberFormat="1" applyFont="1" applyFill="1" applyBorder="1" applyAlignment="1" applyProtection="1">
      <alignment horizontal="right" vertical="center"/>
      <protection locked="0"/>
    </xf>
    <xf numFmtId="2" fontId="5" fillId="35" borderId="10" xfId="0" applyNumberFormat="1" applyFont="1" applyFill="1" applyBorder="1" applyAlignment="1" applyProtection="1">
      <alignment/>
      <protection locked="0"/>
    </xf>
    <xf numFmtId="9" fontId="5" fillId="35" borderId="10" xfId="62" applyFont="1" applyFill="1" applyBorder="1" applyAlignment="1" applyProtection="1">
      <alignment horizontal="right" vertical="center"/>
      <protection locked="0"/>
    </xf>
    <xf numFmtId="181" fontId="5" fillId="35" borderId="10" xfId="62" applyNumberFormat="1" applyFont="1" applyFill="1" applyBorder="1" applyAlignment="1" applyProtection="1">
      <alignment horizontal="right" vertical="center"/>
      <protection locked="0"/>
    </xf>
    <xf numFmtId="3" fontId="1" fillId="35" borderId="10" xfId="0" applyNumberFormat="1" applyFont="1" applyFill="1" applyBorder="1" applyAlignment="1" applyProtection="1">
      <alignment/>
      <protection locked="0"/>
    </xf>
    <xf numFmtId="0" fontId="10" fillId="35" borderId="10" xfId="0" applyFont="1" applyFill="1" applyBorder="1" applyAlignment="1" applyProtection="1">
      <alignment horizontal="left"/>
      <protection locked="0"/>
    </xf>
    <xf numFmtId="0" fontId="6" fillId="37" borderId="11" xfId="0" applyFont="1" applyFill="1" applyBorder="1" applyAlignment="1" applyProtection="1">
      <alignment horizontal="left" vertical="center"/>
      <protection/>
    </xf>
    <xf numFmtId="0" fontId="6" fillId="37" borderId="12" xfId="0" applyFont="1" applyFill="1" applyBorder="1" applyAlignment="1" applyProtection="1">
      <alignment/>
      <protection/>
    </xf>
    <xf numFmtId="0" fontId="6" fillId="37" borderId="12" xfId="0" applyFont="1" applyFill="1" applyBorder="1" applyAlignment="1" applyProtection="1">
      <alignment horizontal="right" vertical="center"/>
      <protection/>
    </xf>
    <xf numFmtId="168" fontId="6" fillId="37" borderId="12" xfId="0" applyNumberFormat="1" applyFont="1" applyFill="1" applyBorder="1" applyAlignment="1" applyProtection="1">
      <alignment horizontal="right" vertical="center"/>
      <protection/>
    </xf>
    <xf numFmtId="2" fontId="6" fillId="37" borderId="13" xfId="0" applyNumberFormat="1" applyFont="1" applyFill="1" applyBorder="1" applyAlignment="1" applyProtection="1">
      <alignment horizontal="right" vertical="center"/>
      <protection/>
    </xf>
    <xf numFmtId="0" fontId="0" fillId="37" borderId="14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15" xfId="0" applyFill="1" applyBorder="1" applyAlignment="1" applyProtection="1">
      <alignment/>
      <protection/>
    </xf>
    <xf numFmtId="0" fontId="0" fillId="37" borderId="14" xfId="59" applyFont="1" applyFill="1" applyBorder="1" applyAlignment="1" applyProtection="1">
      <alignment horizontal="left" vertical="center"/>
      <protection/>
    </xf>
    <xf numFmtId="0" fontId="17" fillId="38" borderId="0" xfId="0" applyFont="1" applyFill="1" applyBorder="1" applyAlignment="1" applyProtection="1">
      <alignment/>
      <protection/>
    </xf>
    <xf numFmtId="0" fontId="0" fillId="38" borderId="0" xfId="0" applyFont="1" applyFill="1" applyBorder="1" applyAlignment="1" applyProtection="1">
      <alignment/>
      <protection/>
    </xf>
    <xf numFmtId="0" fontId="0" fillId="38" borderId="15" xfId="0" applyFont="1" applyFill="1" applyBorder="1" applyAlignment="1" applyProtection="1">
      <alignment/>
      <protection/>
    </xf>
    <xf numFmtId="0" fontId="15" fillId="38" borderId="14" xfId="59" applyFont="1" applyFill="1" applyBorder="1" applyAlignment="1" applyProtection="1">
      <alignment horizontal="left" vertical="center"/>
      <protection/>
    </xf>
    <xf numFmtId="0" fontId="0" fillId="37" borderId="0" xfId="0" applyFont="1" applyFill="1" applyBorder="1" applyAlignment="1" applyProtection="1">
      <alignment/>
      <protection/>
    </xf>
    <xf numFmtId="16" fontId="15" fillId="38" borderId="14" xfId="59" applyNumberFormat="1" applyFont="1" applyFill="1" applyBorder="1" applyAlignment="1" applyProtection="1" quotePrefix="1">
      <alignment horizontal="left" vertical="center"/>
      <protection/>
    </xf>
    <xf numFmtId="0" fontId="0" fillId="37" borderId="16" xfId="0" applyFont="1" applyFill="1" applyBorder="1" applyAlignment="1" applyProtection="1">
      <alignment/>
      <protection/>
    </xf>
    <xf numFmtId="0" fontId="0" fillId="37" borderId="16" xfId="0" applyFill="1" applyBorder="1" applyAlignment="1" applyProtection="1">
      <alignment/>
      <protection/>
    </xf>
    <xf numFmtId="0" fontId="0" fillId="37" borderId="17" xfId="0" applyFill="1" applyBorder="1" applyAlignment="1" applyProtection="1">
      <alignment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5" fillId="37" borderId="16" xfId="0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right" vertical="center"/>
      <protection/>
    </xf>
    <xf numFmtId="2" fontId="5" fillId="37" borderId="16" xfId="0" applyNumberFormat="1" applyFont="1" applyFill="1" applyBorder="1" applyAlignment="1" applyProtection="1">
      <alignment horizontal="right" vertical="center"/>
      <protection/>
    </xf>
    <xf numFmtId="0" fontId="5" fillId="37" borderId="12" xfId="0" applyFont="1" applyFill="1" applyBorder="1" applyAlignment="1" applyProtection="1">
      <alignment/>
      <protection/>
    </xf>
    <xf numFmtId="0" fontId="5" fillId="37" borderId="12" xfId="0" applyFont="1" applyFill="1" applyBorder="1" applyAlignment="1" applyProtection="1">
      <alignment horizontal="right" vertical="center"/>
      <protection/>
    </xf>
    <xf numFmtId="0" fontId="5" fillId="37" borderId="14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>
      <alignment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168" fontId="5" fillId="37" borderId="0" xfId="0" applyNumberFormat="1" applyFont="1" applyFill="1" applyBorder="1" applyAlignment="1" applyProtection="1">
      <alignment horizontal="right" vertical="center"/>
      <protection/>
    </xf>
    <xf numFmtId="168" fontId="5" fillId="37" borderId="16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/>
      <protection/>
    </xf>
    <xf numFmtId="2" fontId="5" fillId="37" borderId="0" xfId="0" applyNumberFormat="1" applyFont="1" applyFill="1" applyBorder="1" applyAlignment="1" applyProtection="1">
      <alignment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15" xfId="0" applyNumberFormat="1" applyFont="1" applyFill="1" applyBorder="1" applyAlignment="1" applyProtection="1">
      <alignment horizontal="right" vertical="center"/>
      <protection/>
    </xf>
    <xf numFmtId="2" fontId="5" fillId="37" borderId="15" xfId="0" applyNumberFormat="1" applyFont="1" applyFill="1" applyBorder="1" applyAlignment="1" applyProtection="1">
      <alignment/>
      <protection/>
    </xf>
    <xf numFmtId="2" fontId="5" fillId="37" borderId="17" xfId="0" applyNumberFormat="1" applyFont="1" applyFill="1" applyBorder="1" applyAlignment="1" applyProtection="1">
      <alignment horizontal="right" vertical="center"/>
      <protection/>
    </xf>
    <xf numFmtId="4" fontId="6" fillId="37" borderId="13" xfId="0" applyNumberFormat="1" applyFont="1" applyFill="1" applyBorder="1" applyAlignment="1" applyProtection="1">
      <alignment horizontal="right" vertical="center"/>
      <protection/>
    </xf>
    <xf numFmtId="0" fontId="10" fillId="37" borderId="11" xfId="0" applyFont="1" applyFill="1" applyBorder="1" applyAlignment="1" applyProtection="1">
      <alignment/>
      <protection/>
    </xf>
    <xf numFmtId="0" fontId="10" fillId="37" borderId="13" xfId="0" applyFont="1" applyFill="1" applyBorder="1" applyAlignment="1" applyProtection="1">
      <alignment/>
      <protection/>
    </xf>
    <xf numFmtId="0" fontId="10" fillId="37" borderId="10" xfId="0" applyFont="1" applyFill="1" applyBorder="1" applyAlignment="1" applyProtection="1">
      <alignment/>
      <protection/>
    </xf>
    <xf numFmtId="0" fontId="6" fillId="37" borderId="14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left" vertical="center"/>
      <protection/>
    </xf>
    <xf numFmtId="0" fontId="5" fillId="37" borderId="0" xfId="0" applyFont="1" applyFill="1" applyBorder="1" applyAlignment="1" applyProtection="1" quotePrefix="1">
      <alignment horizontal="center" vertical="center"/>
      <protection/>
    </xf>
    <xf numFmtId="0" fontId="6" fillId="37" borderId="18" xfId="0" applyFont="1" applyFill="1" applyBorder="1" applyAlignment="1" applyProtection="1">
      <alignment horizontal="left" vertical="center"/>
      <protection/>
    </xf>
    <xf numFmtId="0" fontId="6" fillId="37" borderId="16" xfId="0" applyFont="1" applyFill="1" applyBorder="1" applyAlignment="1" applyProtection="1">
      <alignment horizontal="right" vertical="center"/>
      <protection/>
    </xf>
    <xf numFmtId="0" fontId="4" fillId="37" borderId="14" xfId="0" applyFont="1" applyFill="1" applyBorder="1" applyAlignment="1" applyProtection="1">
      <alignment horizontal="left" vertical="center"/>
      <protection/>
    </xf>
    <xf numFmtId="0" fontId="4" fillId="37" borderId="0" xfId="0" applyFont="1" applyFill="1" applyBorder="1" applyAlignment="1" applyProtection="1">
      <alignment horizontal="center"/>
      <protection/>
    </xf>
    <xf numFmtId="0" fontId="4" fillId="37" borderId="0" xfId="0" applyFont="1" applyFill="1" applyBorder="1" applyAlignment="1" applyProtection="1">
      <alignment horizontal="right" vertical="center"/>
      <protection/>
    </xf>
    <xf numFmtId="0" fontId="6" fillId="37" borderId="16" xfId="0" applyFont="1" applyFill="1" applyBorder="1" applyAlignment="1" applyProtection="1">
      <alignment horizontal="left" vertical="center"/>
      <protection/>
    </xf>
    <xf numFmtId="0" fontId="6" fillId="37" borderId="0" xfId="0" applyFont="1" applyFill="1" applyBorder="1" applyAlignment="1" applyProtection="1">
      <alignment horizontal="right" vertical="center"/>
      <protection/>
    </xf>
    <xf numFmtId="3" fontId="6" fillId="37" borderId="13" xfId="42" applyNumberFormat="1" applyFont="1" applyFill="1" applyBorder="1" applyAlignment="1" applyProtection="1">
      <alignment horizontal="right" vertical="center"/>
      <protection/>
    </xf>
    <xf numFmtId="0" fontId="6" fillId="37" borderId="15" xfId="0" applyFont="1" applyFill="1" applyBorder="1" applyAlignment="1" applyProtection="1">
      <alignment horizontal="right" vertical="center"/>
      <protection/>
    </xf>
    <xf numFmtId="2" fontId="6" fillId="37" borderId="15" xfId="0" applyNumberFormat="1" applyFont="1" applyFill="1" applyBorder="1" applyAlignment="1" applyProtection="1">
      <alignment horizontal="right" vertical="center"/>
      <protection/>
    </xf>
    <xf numFmtId="0" fontId="6" fillId="37" borderId="17" xfId="0" applyFont="1" applyFill="1" applyBorder="1" applyAlignment="1" applyProtection="1">
      <alignment horizontal="right" vertical="center"/>
      <protection/>
    </xf>
    <xf numFmtId="2" fontId="5" fillId="37" borderId="15" xfId="0" applyNumberFormat="1" applyFont="1" applyFill="1" applyBorder="1" applyAlignment="1" applyProtection="1">
      <alignment horizontal="right" vertical="center"/>
      <protection/>
    </xf>
    <xf numFmtId="168" fontId="6" fillId="37" borderId="0" xfId="0" applyNumberFormat="1" applyFont="1" applyFill="1" applyBorder="1" applyAlignment="1" applyProtection="1">
      <alignment horizontal="right" vertical="center"/>
      <protection/>
    </xf>
    <xf numFmtId="2" fontId="5" fillId="37" borderId="0" xfId="0" applyNumberFormat="1" applyFont="1" applyFill="1" applyBorder="1" applyAlignment="1" applyProtection="1">
      <alignment horizontal="right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center"/>
      <protection/>
    </xf>
    <xf numFmtId="0" fontId="1" fillId="37" borderId="10" xfId="0" applyFont="1" applyFill="1" applyBorder="1" applyAlignment="1" applyProtection="1">
      <alignment/>
      <protection/>
    </xf>
    <xf numFmtId="2" fontId="0" fillId="37" borderId="10" xfId="0" applyNumberFormat="1" applyFill="1" applyBorder="1" applyAlignment="1" applyProtection="1">
      <alignment/>
      <protection/>
    </xf>
    <xf numFmtId="0" fontId="1" fillId="37" borderId="11" xfId="0" applyFont="1" applyFill="1" applyBorder="1" applyAlignment="1" applyProtection="1">
      <alignment/>
      <protection/>
    </xf>
    <xf numFmtId="0" fontId="1" fillId="37" borderId="12" xfId="0" applyFont="1" applyFill="1" applyBorder="1" applyAlignment="1" applyProtection="1">
      <alignment/>
      <protection/>
    </xf>
    <xf numFmtId="0" fontId="0" fillId="37" borderId="19" xfId="0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/>
      <protection/>
    </xf>
    <xf numFmtId="0" fontId="0" fillId="37" borderId="18" xfId="0" applyFont="1" applyFill="1" applyBorder="1" applyAlignment="1" applyProtection="1">
      <alignment/>
      <protection/>
    </xf>
    <xf numFmtId="0" fontId="1" fillId="37" borderId="19" xfId="0" applyFont="1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1" fillId="37" borderId="17" xfId="0" applyFont="1" applyFill="1" applyBorder="1" applyAlignment="1" applyProtection="1">
      <alignment horizontal="right"/>
      <protection/>
    </xf>
    <xf numFmtId="0" fontId="0" fillId="37" borderId="12" xfId="0" applyFont="1" applyFill="1" applyBorder="1" applyAlignment="1" applyProtection="1">
      <alignment/>
      <protection/>
    </xf>
    <xf numFmtId="0" fontId="0" fillId="37" borderId="13" xfId="0" applyFont="1" applyFill="1" applyBorder="1" applyAlignment="1" applyProtection="1">
      <alignment/>
      <protection/>
    </xf>
    <xf numFmtId="0" fontId="1" fillId="37" borderId="10" xfId="0" applyFont="1" applyFill="1" applyBorder="1" applyAlignment="1" applyProtection="1">
      <alignment horizontal="right"/>
      <protection/>
    </xf>
    <xf numFmtId="0" fontId="0" fillId="37" borderId="21" xfId="0" applyFont="1" applyFill="1" applyBorder="1" applyAlignment="1" applyProtection="1">
      <alignment/>
      <protection/>
    </xf>
    <xf numFmtId="1" fontId="0" fillId="37" borderId="10" xfId="0" applyNumberFormat="1" applyFont="1" applyFill="1" applyBorder="1" applyAlignment="1" applyProtection="1">
      <alignment/>
      <protection/>
    </xf>
    <xf numFmtId="1" fontId="1" fillId="37" borderId="12" xfId="0" applyNumberFormat="1" applyFont="1" applyFill="1" applyBorder="1" applyAlignment="1" applyProtection="1">
      <alignment/>
      <protection/>
    </xf>
    <xf numFmtId="0" fontId="0" fillId="37" borderId="11" xfId="0" applyFont="1" applyFill="1" applyBorder="1" applyAlignment="1" applyProtection="1">
      <alignment/>
      <protection/>
    </xf>
    <xf numFmtId="0" fontId="0" fillId="37" borderId="10" xfId="0" applyFont="1" applyFill="1" applyBorder="1" applyAlignment="1" applyProtection="1">
      <alignment/>
      <protection/>
    </xf>
    <xf numFmtId="164" fontId="0" fillId="37" borderId="16" xfId="0" applyNumberFormat="1" applyFont="1" applyFill="1" applyBorder="1" applyAlignment="1" applyProtection="1">
      <alignment/>
      <protection/>
    </xf>
    <xf numFmtId="164" fontId="1" fillId="37" borderId="12" xfId="0" applyNumberFormat="1" applyFont="1" applyFill="1" applyBorder="1" applyAlignment="1" applyProtection="1">
      <alignment/>
      <protection/>
    </xf>
    <xf numFmtId="2" fontId="0" fillId="37" borderId="10" xfId="0" applyNumberFormat="1" applyFont="1" applyFill="1" applyBorder="1" applyAlignment="1" applyProtection="1">
      <alignment/>
      <protection/>
    </xf>
    <xf numFmtId="2" fontId="0" fillId="37" borderId="16" xfId="0" applyNumberFormat="1" applyFont="1" applyFill="1" applyBorder="1" applyAlignment="1" applyProtection="1">
      <alignment/>
      <protection/>
    </xf>
    <xf numFmtId="2" fontId="1" fillId="37" borderId="12" xfId="0" applyNumberFormat="1" applyFont="1" applyFill="1" applyBorder="1" applyAlignment="1" applyProtection="1">
      <alignment/>
      <protection/>
    </xf>
    <xf numFmtId="165" fontId="0" fillId="37" borderId="10" xfId="0" applyNumberFormat="1" applyFont="1" applyFill="1" applyBorder="1" applyAlignment="1" applyProtection="1">
      <alignment/>
      <protection/>
    </xf>
    <xf numFmtId="165" fontId="0" fillId="37" borderId="12" xfId="0" applyNumberFormat="1" applyFont="1" applyFill="1" applyBorder="1" applyAlignment="1" applyProtection="1">
      <alignment/>
      <protection/>
    </xf>
    <xf numFmtId="2" fontId="0" fillId="37" borderId="17" xfId="0" applyNumberFormat="1" applyFont="1" applyFill="1" applyBorder="1" applyAlignment="1" applyProtection="1">
      <alignment/>
      <protection/>
    </xf>
    <xf numFmtId="2" fontId="1" fillId="37" borderId="13" xfId="0" applyNumberFormat="1" applyFont="1" applyFill="1" applyBorder="1" applyAlignment="1" applyProtection="1">
      <alignment/>
      <protection/>
    </xf>
    <xf numFmtId="1" fontId="0" fillId="37" borderId="12" xfId="0" applyNumberFormat="1" applyFont="1" applyFill="1" applyBorder="1" applyAlignment="1" applyProtection="1">
      <alignment/>
      <protection/>
    </xf>
    <xf numFmtId="2" fontId="0" fillId="37" borderId="13" xfId="0" applyNumberFormat="1" applyFont="1" applyFill="1" applyBorder="1" applyAlignment="1" applyProtection="1">
      <alignment/>
      <protection/>
    </xf>
    <xf numFmtId="0" fontId="12" fillId="37" borderId="11" xfId="0" applyFont="1" applyFill="1" applyBorder="1" applyAlignment="1" applyProtection="1">
      <alignment/>
      <protection/>
    </xf>
    <xf numFmtId="0" fontId="12" fillId="37" borderId="12" xfId="0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/>
      <protection/>
    </xf>
    <xf numFmtId="0" fontId="11" fillId="37" borderId="18" xfId="0" applyFont="1" applyFill="1" applyBorder="1" applyAlignment="1" applyProtection="1">
      <alignment/>
      <protection/>
    </xf>
    <xf numFmtId="0" fontId="10" fillId="37" borderId="16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right"/>
      <protection/>
    </xf>
    <xf numFmtId="0" fontId="11" fillId="37" borderId="16" xfId="0" applyFont="1" applyFill="1" applyBorder="1" applyAlignment="1" applyProtection="1">
      <alignment horizontal="right"/>
      <protection/>
    </xf>
    <xf numFmtId="0" fontId="13" fillId="37" borderId="12" xfId="0" applyFont="1" applyFill="1" applyBorder="1" applyAlignment="1" applyProtection="1">
      <alignment/>
      <protection/>
    </xf>
    <xf numFmtId="0" fontId="13" fillId="37" borderId="13" xfId="0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/>
      <protection/>
    </xf>
    <xf numFmtId="0" fontId="11" fillId="37" borderId="10" xfId="0" applyFont="1" applyFill="1" applyBorder="1" applyAlignment="1" applyProtection="1">
      <alignment horizontal="right"/>
      <protection/>
    </xf>
    <xf numFmtId="1" fontId="10" fillId="37" borderId="10" xfId="0" applyNumberFormat="1" applyFont="1" applyFill="1" applyBorder="1" applyAlignment="1" applyProtection="1">
      <alignment/>
      <protection/>
    </xf>
    <xf numFmtId="0" fontId="11" fillId="37" borderId="12" xfId="0" applyFont="1" applyFill="1" applyBorder="1" applyAlignment="1" applyProtection="1">
      <alignment/>
      <protection/>
    </xf>
    <xf numFmtId="2" fontId="10" fillId="37" borderId="10" xfId="0" applyNumberFormat="1" applyFont="1" applyFill="1" applyBorder="1" applyAlignment="1" applyProtection="1">
      <alignment/>
      <protection/>
    </xf>
    <xf numFmtId="2" fontId="11" fillId="37" borderId="12" xfId="0" applyNumberFormat="1" applyFont="1" applyFill="1" applyBorder="1" applyAlignment="1" applyProtection="1">
      <alignment/>
      <protection/>
    </xf>
    <xf numFmtId="1" fontId="10" fillId="37" borderId="10" xfId="0" applyNumberFormat="1" applyFont="1" applyFill="1" applyBorder="1" applyAlignment="1" applyProtection="1">
      <alignment horizontal="right"/>
      <protection/>
    </xf>
    <xf numFmtId="165" fontId="10" fillId="37" borderId="10" xfId="0" applyNumberFormat="1" applyFont="1" applyFill="1" applyBorder="1" applyAlignment="1" applyProtection="1">
      <alignment/>
      <protection/>
    </xf>
    <xf numFmtId="1" fontId="11" fillId="37" borderId="12" xfId="0" applyNumberFormat="1" applyFont="1" applyFill="1" applyBorder="1" applyAlignment="1" applyProtection="1">
      <alignment/>
      <protection/>
    </xf>
    <xf numFmtId="165" fontId="11" fillId="37" borderId="12" xfId="0" applyNumberFormat="1" applyFont="1" applyFill="1" applyBorder="1" applyAlignment="1" applyProtection="1">
      <alignment/>
      <protection/>
    </xf>
    <xf numFmtId="2" fontId="11" fillId="37" borderId="13" xfId="0" applyNumberFormat="1" applyFont="1" applyFill="1" applyBorder="1" applyAlignment="1" applyProtection="1">
      <alignment/>
      <protection/>
    </xf>
    <xf numFmtId="0" fontId="11" fillId="37" borderId="11" xfId="0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/>
      <protection/>
    </xf>
    <xf numFmtId="164" fontId="10" fillId="35" borderId="10" xfId="0" applyNumberFormat="1" applyFont="1" applyFill="1" applyBorder="1" applyAlignment="1" applyProtection="1">
      <alignment/>
      <protection/>
    </xf>
    <xf numFmtId="2" fontId="10" fillId="35" borderId="10" xfId="0" applyNumberFormat="1" applyFont="1" applyFill="1" applyBorder="1" applyAlignment="1" applyProtection="1">
      <alignment/>
      <protection/>
    </xf>
    <xf numFmtId="0" fontId="10" fillId="35" borderId="10" xfId="0" applyFont="1" applyFill="1" applyBorder="1" applyAlignment="1" applyProtection="1">
      <alignment horizontal="left"/>
      <protection/>
    </xf>
    <xf numFmtId="0" fontId="0" fillId="37" borderId="0" xfId="0" applyFill="1" applyAlignment="1" applyProtection="1">
      <alignment/>
      <protection/>
    </xf>
    <xf numFmtId="2" fontId="5" fillId="37" borderId="12" xfId="0" applyNumberFormat="1" applyFont="1" applyFill="1" applyBorder="1" applyAlignment="1" applyProtection="1">
      <alignment horizontal="right" vertical="center"/>
      <protection/>
    </xf>
    <xf numFmtId="0" fontId="10" fillId="35" borderId="11" xfId="0" applyFont="1" applyFill="1" applyBorder="1" applyAlignment="1" applyProtection="1">
      <alignment horizontal="left"/>
      <protection/>
    </xf>
    <xf numFmtId="0" fontId="10" fillId="35" borderId="13" xfId="0" applyFont="1" applyFill="1" applyBorder="1" applyAlignment="1" applyProtection="1">
      <alignment horizontal="left"/>
      <protection/>
    </xf>
    <xf numFmtId="0" fontId="5" fillId="37" borderId="0" xfId="0" applyFont="1" applyFill="1" applyAlignment="1" applyProtection="1">
      <alignment/>
      <protection/>
    </xf>
    <xf numFmtId="0" fontId="5" fillId="37" borderId="0" xfId="0" applyFont="1" applyFill="1" applyAlignment="1" applyProtection="1">
      <alignment horizontal="right"/>
      <protection/>
    </xf>
    <xf numFmtId="0" fontId="0" fillId="37" borderId="14" xfId="59" applyFill="1" applyBorder="1" applyProtection="1">
      <alignment/>
      <protection/>
    </xf>
    <xf numFmtId="0" fontId="15" fillId="37" borderId="18" xfId="59" applyFont="1" applyFill="1" applyBorder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1" fillId="35" borderId="18" xfId="0" applyFont="1" applyFill="1" applyBorder="1" applyAlignment="1" applyProtection="1">
      <alignment horizontal="center"/>
      <protection/>
    </xf>
    <xf numFmtId="0" fontId="1" fillId="35" borderId="16" xfId="0" applyFont="1" applyFill="1" applyBorder="1" applyAlignment="1" applyProtection="1">
      <alignment horizontal="center"/>
      <protection/>
    </xf>
    <xf numFmtId="0" fontId="1" fillId="35" borderId="17" xfId="0" applyFont="1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horizontal="center" vertical="center"/>
      <protection/>
    </xf>
    <xf numFmtId="0" fontId="6" fillId="35" borderId="21" xfId="0" applyFont="1" applyFill="1" applyBorder="1" applyAlignment="1" applyProtection="1">
      <alignment horizontal="center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/>
      <protection/>
    </xf>
    <xf numFmtId="0" fontId="1" fillId="35" borderId="0" xfId="0" applyFont="1" applyFill="1" applyBorder="1" applyAlignment="1" applyProtection="1">
      <alignment horizontal="center"/>
      <protection/>
    </xf>
    <xf numFmtId="165" fontId="1" fillId="37" borderId="10" xfId="0" applyNumberFormat="1" applyFont="1" applyFill="1" applyBorder="1" applyAlignment="1" applyProtection="1">
      <alignment horizontal="center"/>
      <protection/>
    </xf>
    <xf numFmtId="0" fontId="11" fillId="37" borderId="11" xfId="0" applyFont="1" applyFill="1" applyBorder="1" applyAlignment="1" applyProtection="1">
      <alignment horizontal="center"/>
      <protection/>
    </xf>
    <xf numFmtId="0" fontId="11" fillId="37" borderId="12" xfId="0" applyFont="1" applyFill="1" applyBorder="1" applyAlignment="1" applyProtection="1">
      <alignment horizontal="center"/>
      <protection/>
    </xf>
    <xf numFmtId="0" fontId="11" fillId="37" borderId="13" xfId="0" applyFon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10" xfId="0" applyFont="1" applyFill="1" applyBorder="1" applyAlignment="1" applyProtection="1">
      <alignment horizontal="left"/>
      <protection locked="0"/>
    </xf>
    <xf numFmtId="0" fontId="1" fillId="37" borderId="11" xfId="0" applyFont="1" applyFill="1" applyBorder="1" applyAlignment="1" applyProtection="1">
      <alignment horizontal="center"/>
      <protection/>
    </xf>
    <xf numFmtId="0" fontId="1" fillId="37" borderId="12" xfId="0" applyFont="1" applyFill="1" applyBorder="1" applyAlignment="1" applyProtection="1">
      <alignment horizontal="center"/>
      <protection/>
    </xf>
    <xf numFmtId="0" fontId="1" fillId="37" borderId="13" xfId="0" applyFont="1" applyFill="1" applyBorder="1" applyAlignment="1" applyProtection="1">
      <alignment horizontal="center"/>
      <protection/>
    </xf>
    <xf numFmtId="0" fontId="10" fillId="35" borderId="10" xfId="0" applyFont="1" applyFill="1" applyBorder="1" applyAlignment="1" applyProtection="1">
      <alignment horizontal="left"/>
      <protection locked="0"/>
    </xf>
    <xf numFmtId="0" fontId="1" fillId="33" borderId="14" xfId="0" applyFont="1" applyFill="1" applyBorder="1" applyAlignment="1" applyProtection="1">
      <alignment horizontal="center"/>
      <protection/>
    </xf>
    <xf numFmtId="0" fontId="1" fillId="33" borderId="15" xfId="0" applyFont="1" applyFill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9" fillId="37" borderId="19" xfId="0" applyFont="1" applyFill="1" applyBorder="1" applyAlignment="1" applyProtection="1">
      <alignment horizontal="center" vertical="center"/>
      <protection/>
    </xf>
    <xf numFmtId="0" fontId="19" fillId="37" borderId="20" xfId="0" applyFont="1" applyFill="1" applyBorder="1" applyAlignment="1" applyProtection="1">
      <alignment horizontal="center" vertical="center"/>
      <protection/>
    </xf>
    <xf numFmtId="0" fontId="19" fillId="37" borderId="21" xfId="0" applyFont="1" applyFill="1" applyBorder="1" applyAlignment="1" applyProtection="1">
      <alignment horizontal="center" vertical="center"/>
      <protection/>
    </xf>
    <xf numFmtId="0" fontId="6" fillId="37" borderId="16" xfId="0" applyFont="1" applyFill="1" applyBorder="1" applyAlignment="1" applyProtection="1">
      <alignment horizontal="left" vertical="center"/>
      <protection/>
    </xf>
    <xf numFmtId="0" fontId="19" fillId="37" borderId="18" xfId="0" applyFont="1" applyFill="1" applyBorder="1" applyAlignment="1" applyProtection="1">
      <alignment horizontal="center" vertical="center"/>
      <protection/>
    </xf>
    <xf numFmtId="0" fontId="19" fillId="37" borderId="16" xfId="0" applyFont="1" applyFill="1" applyBorder="1" applyAlignment="1" applyProtection="1">
      <alignment horizontal="center" vertical="center"/>
      <protection/>
    </xf>
    <xf numFmtId="0" fontId="19" fillId="37" borderId="17" xfId="0" applyFont="1" applyFill="1" applyBorder="1" applyAlignment="1" applyProtection="1">
      <alignment horizontal="center" vertical="center"/>
      <protection/>
    </xf>
    <xf numFmtId="0" fontId="10" fillId="35" borderId="11" xfId="0" applyFont="1" applyFill="1" applyBorder="1" applyAlignment="1" applyProtection="1">
      <alignment horizontal="left"/>
      <protection locked="0"/>
    </xf>
    <xf numFmtId="0" fontId="10" fillId="35" borderId="13" xfId="0" applyFont="1" applyFill="1" applyBorder="1" applyAlignment="1" applyProtection="1">
      <alignment horizontal="lef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8E95.0D87A37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857250</xdr:colOff>
      <xdr:row>66</xdr:row>
      <xdr:rowOff>104775</xdr:rowOff>
    </xdr:from>
    <xdr:to>
      <xdr:col>7</xdr:col>
      <xdr:colOff>942975</xdr:colOff>
      <xdr:row>69</xdr:row>
      <xdr:rowOff>133350</xdr:rowOff>
    </xdr:to>
    <xdr:pic>
      <xdr:nvPicPr>
        <xdr:cNvPr id="1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0" y="11544300"/>
          <a:ext cx="2047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58</xdr:row>
      <xdr:rowOff>95250</xdr:rowOff>
    </xdr:from>
    <xdr:to>
      <xdr:col>18</xdr:col>
      <xdr:colOff>219075</xdr:colOff>
      <xdr:row>61</xdr:row>
      <xdr:rowOff>114300</xdr:rowOff>
    </xdr:to>
    <xdr:pic>
      <xdr:nvPicPr>
        <xdr:cNvPr id="2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3030200" y="10163175"/>
          <a:ext cx="2047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zoomScale="110" zoomScaleNormal="110" zoomScalePageLayoutView="0" workbookViewId="0" topLeftCell="A1">
      <selection activeCell="A1" sqref="A1:H1"/>
    </sheetView>
  </sheetViews>
  <sheetFormatPr defaultColWidth="9.140625" defaultRowHeight="12.75"/>
  <cols>
    <col min="1" max="1" width="22.7109375" style="0" customWidth="1"/>
    <col min="2" max="2" width="9.7109375" style="0" customWidth="1"/>
    <col min="3" max="3" width="5.7109375" style="0" customWidth="1"/>
    <col min="4" max="4" width="15.7109375" style="0" customWidth="1"/>
    <col min="5" max="8" width="14.7109375" style="0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style="0" customWidth="1"/>
    <col min="21" max="22" width="10.7109375" style="0" customWidth="1"/>
    <col min="23" max="28" width="9.7109375" style="0" customWidth="1"/>
    <col min="29" max="29" width="9.28125" style="0" bestFit="1" customWidth="1"/>
    <col min="30" max="30" width="10.28125" style="0" bestFit="1" customWidth="1"/>
    <col min="31" max="31" width="9.28125" style="0" bestFit="1" customWidth="1"/>
    <col min="32" max="32" width="11.00390625" style="0" customWidth="1"/>
    <col min="33" max="33" width="15.7109375" style="0" customWidth="1"/>
    <col min="34" max="34" width="9.7109375" style="0" customWidth="1"/>
    <col min="35" max="35" width="9.28125" style="0" bestFit="1" customWidth="1"/>
    <col min="36" max="36" width="11.00390625" style="0" customWidth="1"/>
  </cols>
  <sheetData>
    <row r="1" spans="1:38" ht="17.25" customHeight="1">
      <c r="A1" s="229" t="s">
        <v>143</v>
      </c>
      <c r="B1" s="230"/>
      <c r="C1" s="230"/>
      <c r="D1" s="230"/>
      <c r="E1" s="230"/>
      <c r="F1" s="230"/>
      <c r="G1" s="230"/>
      <c r="H1" s="231"/>
      <c r="I1" s="47"/>
      <c r="J1" s="206" t="s">
        <v>143</v>
      </c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8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>
      <c r="A2" s="233" t="s">
        <v>131</v>
      </c>
      <c r="B2" s="234"/>
      <c r="C2" s="234"/>
      <c r="D2" s="234"/>
      <c r="E2" s="234"/>
      <c r="F2" s="234"/>
      <c r="G2" s="234"/>
      <c r="H2" s="235"/>
      <c r="I2" s="47"/>
      <c r="J2" s="209" t="s">
        <v>131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1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3.5" customHeight="1">
      <c r="A3" s="120" t="s">
        <v>36</v>
      </c>
      <c r="B3" s="121" t="s">
        <v>132</v>
      </c>
      <c r="C3" s="122"/>
      <c r="D3" s="121"/>
      <c r="E3" s="87"/>
      <c r="F3" s="121" t="s">
        <v>41</v>
      </c>
      <c r="G3" s="127"/>
      <c r="H3" s="70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3.5" customHeight="1">
      <c r="A4" s="120" t="s">
        <v>35</v>
      </c>
      <c r="B4" s="121" t="s">
        <v>37</v>
      </c>
      <c r="C4" s="121"/>
      <c r="D4" s="107"/>
      <c r="E4" s="87"/>
      <c r="F4" s="121" t="s">
        <v>42</v>
      </c>
      <c r="G4" s="127"/>
      <c r="H4" s="71">
        <v>2.75</v>
      </c>
      <c r="I4" s="3"/>
      <c r="J4" s="49"/>
      <c r="K4" s="49"/>
      <c r="L4" s="212" t="s">
        <v>122</v>
      </c>
      <c r="M4" s="212"/>
      <c r="N4" s="212"/>
      <c r="O4" s="212"/>
      <c r="P4" s="212"/>
      <c r="Q4" s="212"/>
      <c r="R4" s="212"/>
      <c r="S4" s="212"/>
      <c r="T4" s="212"/>
      <c r="U4" s="212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3.5" customHeight="1">
      <c r="A5" s="123" t="s">
        <v>34</v>
      </c>
      <c r="B5" s="232" t="s">
        <v>144</v>
      </c>
      <c r="C5" s="232"/>
      <c r="D5" s="124"/>
      <c r="E5" s="97"/>
      <c r="F5" s="128" t="s">
        <v>111</v>
      </c>
      <c r="G5" s="128"/>
      <c r="H5" s="130">
        <f>208.71*$H$4*(208.71/($H$3/12))</f>
        <v>39929.875425000006</v>
      </c>
      <c r="I5" s="3"/>
      <c r="J5" s="45" t="s">
        <v>94</v>
      </c>
      <c r="K5" s="56">
        <f>SUM(G12:G42)</f>
        <v>474.76578927146653</v>
      </c>
      <c r="L5" s="138"/>
      <c r="M5" s="213">
        <f>+P5-0.05</f>
        <v>0.6749999999999999</v>
      </c>
      <c r="N5" s="213"/>
      <c r="O5" s="213"/>
      <c r="P5" s="213">
        <f>+F8</f>
        <v>0.725</v>
      </c>
      <c r="Q5" s="213"/>
      <c r="R5" s="213"/>
      <c r="S5" s="213">
        <f>+P5+0.05</f>
        <v>0.775</v>
      </c>
      <c r="T5" s="213"/>
      <c r="U5" s="213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3.5" customHeight="1">
      <c r="A6" s="86"/>
      <c r="B6" s="87"/>
      <c r="C6" s="87"/>
      <c r="D6" s="87"/>
      <c r="E6" s="87"/>
      <c r="F6" s="87"/>
      <c r="G6" s="87"/>
      <c r="H6" s="88"/>
      <c r="I6" s="3"/>
      <c r="J6" s="54"/>
      <c r="K6" s="57">
        <f>SUM(H45:H50)</f>
        <v>0.5298387096774196</v>
      </c>
      <c r="L6" s="139" t="s">
        <v>110</v>
      </c>
      <c r="M6" s="140">
        <f>+P6</f>
        <v>1000</v>
      </c>
      <c r="N6" s="140">
        <f>+Q6</f>
        <v>1200</v>
      </c>
      <c r="O6" s="140">
        <f>+R6</f>
        <v>1400</v>
      </c>
      <c r="P6" s="140">
        <f>+Q6-200</f>
        <v>1000</v>
      </c>
      <c r="Q6" s="140">
        <f>+E8</f>
        <v>1200</v>
      </c>
      <c r="R6" s="140">
        <f>+Q6+200</f>
        <v>1400</v>
      </c>
      <c r="S6" s="140">
        <f>+P6</f>
        <v>1000</v>
      </c>
      <c r="T6" s="140">
        <f>+Q6</f>
        <v>1200</v>
      </c>
      <c r="U6" s="140">
        <f>+R6</f>
        <v>1400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>
      <c r="A7" s="125"/>
      <c r="B7" s="126"/>
      <c r="C7" s="126"/>
      <c r="D7" s="127"/>
      <c r="E7" s="129" t="s">
        <v>38</v>
      </c>
      <c r="F7" s="129" t="s">
        <v>130</v>
      </c>
      <c r="G7" s="129" t="s">
        <v>39</v>
      </c>
      <c r="H7" s="131" t="s">
        <v>44</v>
      </c>
      <c r="I7" s="3"/>
      <c r="J7" s="45" t="s">
        <v>95</v>
      </c>
      <c r="K7" s="58">
        <f>+($K$5+L7)*(1+$F$43/12*$C$43)</f>
        <v>645.0706774227891</v>
      </c>
      <c r="L7" s="60">
        <v>150</v>
      </c>
      <c r="M7" s="141">
        <f>+$M$5*$M$6-K7-$M$12</f>
        <v>24.630935480436573</v>
      </c>
      <c r="N7" s="141">
        <f>+M5*N6-K7-N12</f>
        <v>158.57125806108172</v>
      </c>
      <c r="O7" s="141">
        <f>+M5*O6-K7-O12</f>
        <v>292.5115806417269</v>
      </c>
      <c r="P7" s="141">
        <f>+P5*P6-K7-P12</f>
        <v>74.63093548043669</v>
      </c>
      <c r="Q7" s="141">
        <f>+P5*Q6-K7-Q12</f>
        <v>218.57125806108183</v>
      </c>
      <c r="R7" s="141">
        <f>+P5*R6-K7-R12</f>
        <v>362.511580641727</v>
      </c>
      <c r="S7" s="141">
        <f>+S5*S6-K7-S12</f>
        <v>124.63093548043669</v>
      </c>
      <c r="T7" s="141">
        <f>+T6*S5-K7-T12</f>
        <v>278.57125806108183</v>
      </c>
      <c r="U7" s="141">
        <f>+U6*S5-K7-U12</f>
        <v>432.511580641727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3.5" customHeight="1">
      <c r="A8" s="120" t="s">
        <v>93</v>
      </c>
      <c r="B8" s="126"/>
      <c r="C8" s="126"/>
      <c r="D8" s="127"/>
      <c r="E8" s="72">
        <v>1200</v>
      </c>
      <c r="F8" s="73">
        <v>0.725</v>
      </c>
      <c r="G8" s="135">
        <f>+E8*F8</f>
        <v>870</v>
      </c>
      <c r="H8" s="132">
        <f>+G8/E8*100</f>
        <v>72.5</v>
      </c>
      <c r="I8" s="3"/>
      <c r="J8" s="45" t="s">
        <v>96</v>
      </c>
      <c r="K8" s="58">
        <f>+($K$5+L8)*(1+$F$43/12*$C$43)</f>
        <v>670.8831774227891</v>
      </c>
      <c r="L8" s="60">
        <v>175</v>
      </c>
      <c r="M8" s="141">
        <f>+$M$5*$M$6-K8-$M$12</f>
        <v>-1.1815645195634277</v>
      </c>
      <c r="N8" s="141">
        <f>+N6*M5-K8-N12</f>
        <v>132.75875806108172</v>
      </c>
      <c r="O8" s="141">
        <f>+O6*M5-K8-O12</f>
        <v>266.6990806417269</v>
      </c>
      <c r="P8" s="141">
        <f>+P6*P5-K8-P12</f>
        <v>48.81843548043668</v>
      </c>
      <c r="Q8" s="141">
        <f>+Q6*P5-K8-Q12</f>
        <v>192.75875806108183</v>
      </c>
      <c r="R8" s="141">
        <f>+R6*P5-K8-R12</f>
        <v>336.699080641727</v>
      </c>
      <c r="S8" s="141">
        <f>+S6*S5-K8-S12</f>
        <v>98.81843548043669</v>
      </c>
      <c r="T8" s="141">
        <f>+T6*S5-K8-T12</f>
        <v>252.75875806108183</v>
      </c>
      <c r="U8" s="141">
        <f>+U6*S5-K8-U12</f>
        <v>406.699080641727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3.5" customHeight="1">
      <c r="A9" s="86"/>
      <c r="B9" s="87"/>
      <c r="C9" s="87"/>
      <c r="D9" s="87"/>
      <c r="E9" s="87"/>
      <c r="F9" s="87"/>
      <c r="G9" s="87"/>
      <c r="H9" s="88"/>
      <c r="I9" s="3"/>
      <c r="J9" s="50"/>
      <c r="K9" s="58">
        <f>+($K$5+L9)*(1+$F$43/12*$C$43)</f>
        <v>696.6956774227891</v>
      </c>
      <c r="L9" s="60">
        <v>200</v>
      </c>
      <c r="M9" s="141">
        <f>+$M$5*$M$6-K9-$M$12</f>
        <v>-26.994064519563427</v>
      </c>
      <c r="N9" s="141">
        <f>+N6*M5-K9-N12</f>
        <v>106.94625806108174</v>
      </c>
      <c r="O9" s="141">
        <f>+O6*M5-K9-O12</f>
        <v>240.88658064172688</v>
      </c>
      <c r="P9" s="141">
        <f>+P6*P5-K9-P12</f>
        <v>23.005935480436687</v>
      </c>
      <c r="Q9" s="141">
        <f>+Q6*P5-K9-Q12</f>
        <v>166.94625806108183</v>
      </c>
      <c r="R9" s="141">
        <f>+R6*P5-K9-R12</f>
        <v>310.886580641727</v>
      </c>
      <c r="S9" s="141">
        <f>+S6*S5-K9-S12</f>
        <v>73.00593548043669</v>
      </c>
      <c r="T9" s="141">
        <f>+T6*S5-K9-T12</f>
        <v>226.94625806108183</v>
      </c>
      <c r="U9" s="141">
        <f>+U6*S5-K9-U12</f>
        <v>380.886580641727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3.5" customHeight="1">
      <c r="A10" s="123" t="s">
        <v>103</v>
      </c>
      <c r="B10" s="100"/>
      <c r="C10" s="100"/>
      <c r="D10" s="124" t="s">
        <v>15</v>
      </c>
      <c r="E10" s="124" t="s">
        <v>16</v>
      </c>
      <c r="F10" s="124" t="s">
        <v>17</v>
      </c>
      <c r="G10" s="124" t="s">
        <v>18</v>
      </c>
      <c r="H10" s="133" t="s">
        <v>44</v>
      </c>
      <c r="I10" s="3"/>
      <c r="J10" s="50"/>
      <c r="K10" s="58">
        <f>+($K$5+L10)*(1+$F$43/12*$C$43)</f>
        <v>722.5081774227891</v>
      </c>
      <c r="L10" s="60">
        <v>225</v>
      </c>
      <c r="M10" s="141">
        <f>+$M$5*$M$6-K10-$M$12</f>
        <v>-52.80656451956343</v>
      </c>
      <c r="N10" s="141">
        <f>+N6*M5-K10-N12</f>
        <v>81.13375806108174</v>
      </c>
      <c r="O10" s="141">
        <f>+O6*M5-K10-O12</f>
        <v>215.07408064172688</v>
      </c>
      <c r="P10" s="141">
        <f>+P6*P5-K10-P12</f>
        <v>-2.806564519563314</v>
      </c>
      <c r="Q10" s="141">
        <f>+Q6*P5-K10-Q12</f>
        <v>141.13375806108183</v>
      </c>
      <c r="R10" s="141">
        <f>+R6*P5-K10-R12</f>
        <v>285.074080641727</v>
      </c>
      <c r="S10" s="141">
        <f>+S6*S5-K10-S12</f>
        <v>47.19343548043668</v>
      </c>
      <c r="T10" s="141">
        <f>+T6*S5-K10-T12</f>
        <v>201.13375806108183</v>
      </c>
      <c r="U10" s="141">
        <f>+U6*S5-K10-U12</f>
        <v>355.074080641727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3.5" customHeight="1">
      <c r="A11" s="105" t="s">
        <v>0</v>
      </c>
      <c r="B11" s="106"/>
      <c r="C11" s="106"/>
      <c r="D11" s="107" t="s">
        <v>19</v>
      </c>
      <c r="E11" s="107">
        <v>1</v>
      </c>
      <c r="F11" s="74">
        <v>0</v>
      </c>
      <c r="G11" s="112">
        <f>+E11*F11</f>
        <v>0</v>
      </c>
      <c r="H11" s="113">
        <f>+G11/$E$8*100</f>
        <v>0</v>
      </c>
      <c r="I11" s="3"/>
      <c r="J11" s="3"/>
      <c r="K11" s="58">
        <f>+($K$5+L11)*(1+$F$43/12*$C$43)</f>
        <v>748.3206774227891</v>
      </c>
      <c r="L11" s="60">
        <v>250</v>
      </c>
      <c r="M11" s="141">
        <f>+$M$5*$M$6-K11-$M$12</f>
        <v>-78.61906451956342</v>
      </c>
      <c r="N11" s="141">
        <f>+N6*M5-K11-N12</f>
        <v>55.321258061081735</v>
      </c>
      <c r="O11" s="141">
        <f>+O6*M5-K11-O12</f>
        <v>189.26158064172688</v>
      </c>
      <c r="P11" s="141">
        <f>+P6*P5-K11-P12</f>
        <v>-28.619064519563313</v>
      </c>
      <c r="Q11" s="141">
        <f>+Q6*P5-K11-Q12</f>
        <v>115.32125806108185</v>
      </c>
      <c r="R11" s="141">
        <f>+R6*P5-K11-R12</f>
        <v>259.261580641727</v>
      </c>
      <c r="S11" s="141">
        <f>+S6*S5-K11-S12</f>
        <v>21.380935480436687</v>
      </c>
      <c r="T11" s="141">
        <f>+T6*S5-K11-T12</f>
        <v>175.32125806108183</v>
      </c>
      <c r="U11" s="141">
        <f>+U6*S5-K11-U12</f>
        <v>329.261580641727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3.5" customHeight="1">
      <c r="A12" s="105" t="s">
        <v>133</v>
      </c>
      <c r="B12" s="106"/>
      <c r="C12" s="106"/>
      <c r="D12" s="107" t="s">
        <v>19</v>
      </c>
      <c r="E12" s="107">
        <v>1</v>
      </c>
      <c r="F12" s="74">
        <v>8</v>
      </c>
      <c r="G12" s="112">
        <f>+E12*F12</f>
        <v>8</v>
      </c>
      <c r="H12" s="113">
        <f>+G12/$E$8*100</f>
        <v>0.6666666666666667</v>
      </c>
      <c r="I12" s="3"/>
      <c r="J12" s="3"/>
      <c r="K12" s="49"/>
      <c r="L12" s="27"/>
      <c r="M12" s="59">
        <f>+$K$6/100*M6</f>
        <v>5.298387096774197</v>
      </c>
      <c r="N12" s="59">
        <f aca="true" t="shared" si="0" ref="N12:U12">+$K$6/100*N6</f>
        <v>6.358064516129035</v>
      </c>
      <c r="O12" s="59">
        <f t="shared" si="0"/>
        <v>7.417741935483875</v>
      </c>
      <c r="P12" s="59">
        <f t="shared" si="0"/>
        <v>5.298387096774197</v>
      </c>
      <c r="Q12" s="59">
        <f t="shared" si="0"/>
        <v>6.358064516129035</v>
      </c>
      <c r="R12" s="59">
        <f t="shared" si="0"/>
        <v>7.417741935483875</v>
      </c>
      <c r="S12" s="59">
        <f t="shared" si="0"/>
        <v>5.298387096774197</v>
      </c>
      <c r="T12" s="59">
        <f t="shared" si="0"/>
        <v>6.358064516129035</v>
      </c>
      <c r="U12" s="59">
        <f t="shared" si="0"/>
        <v>7.417741935483875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3.5" customHeight="1">
      <c r="A13" s="105" t="s">
        <v>134</v>
      </c>
      <c r="B13" s="106"/>
      <c r="C13" s="106"/>
      <c r="D13" s="107" t="s">
        <v>112</v>
      </c>
      <c r="E13" s="112">
        <f>+H5/1000</f>
        <v>39.929875425000006</v>
      </c>
      <c r="F13" s="74">
        <v>2.76</v>
      </c>
      <c r="G13" s="112">
        <f>+F13*E13</f>
        <v>110.206456173</v>
      </c>
      <c r="H13" s="113">
        <f>+G13/E8*100</f>
        <v>9.18387134775</v>
      </c>
      <c r="I13" s="3"/>
      <c r="J13" s="3"/>
      <c r="K13" s="3"/>
      <c r="L13" s="27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3.5" customHeight="1">
      <c r="A14" s="105" t="s">
        <v>43</v>
      </c>
      <c r="B14" s="106"/>
      <c r="C14" s="106"/>
      <c r="D14" s="107" t="s">
        <v>20</v>
      </c>
      <c r="E14" s="72">
        <v>0.33</v>
      </c>
      <c r="F14" s="74">
        <v>42</v>
      </c>
      <c r="G14" s="112">
        <f>+E14*F14</f>
        <v>13.860000000000001</v>
      </c>
      <c r="H14" s="113">
        <f>+G14/$E$8*100</f>
        <v>1.155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3.5" customHeight="1">
      <c r="A15" s="105" t="s">
        <v>46</v>
      </c>
      <c r="B15" s="106"/>
      <c r="C15" s="106"/>
      <c r="D15" s="107"/>
      <c r="E15" s="107"/>
      <c r="F15" s="112"/>
      <c r="G15" s="112"/>
      <c r="H15" s="113"/>
      <c r="I15" s="3"/>
      <c r="J15" s="142" t="s">
        <v>51</v>
      </c>
      <c r="K15" s="143"/>
      <c r="L15" s="79">
        <v>1000</v>
      </c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3.5" customHeight="1">
      <c r="A16" s="105" t="s">
        <v>1</v>
      </c>
      <c r="B16" s="106"/>
      <c r="C16" s="106"/>
      <c r="D16" s="107" t="s">
        <v>21</v>
      </c>
      <c r="E16" s="72">
        <v>90</v>
      </c>
      <c r="F16" s="74">
        <v>0.42</v>
      </c>
      <c r="G16" s="112">
        <f>+E16*F16</f>
        <v>37.8</v>
      </c>
      <c r="H16" s="113">
        <f>+G16/$E$8*100</f>
        <v>3.15</v>
      </c>
      <c r="I16" s="3"/>
      <c r="J16" s="144"/>
      <c r="K16" s="145"/>
      <c r="L16" s="148"/>
      <c r="M16" s="220" t="s">
        <v>52</v>
      </c>
      <c r="N16" s="221"/>
      <c r="O16" s="221"/>
      <c r="P16" s="222"/>
      <c r="Q16" s="220" t="s">
        <v>76</v>
      </c>
      <c r="R16" s="221"/>
      <c r="S16" s="221"/>
      <c r="T16" s="222"/>
      <c r="U16" s="220" t="s">
        <v>53</v>
      </c>
      <c r="V16" s="221"/>
      <c r="W16" s="222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3.5" customHeight="1">
      <c r="A17" s="105" t="s">
        <v>2</v>
      </c>
      <c r="B17" s="106"/>
      <c r="C17" s="106"/>
      <c r="D17" s="107" t="s">
        <v>21</v>
      </c>
      <c r="E17" s="72">
        <v>70</v>
      </c>
      <c r="F17" s="74">
        <v>0.39</v>
      </c>
      <c r="G17" s="112">
        <f>+E17*F17</f>
        <v>27.3</v>
      </c>
      <c r="H17" s="113">
        <f>+G17/$E$8*100</f>
        <v>2.275</v>
      </c>
      <c r="I17" s="3"/>
      <c r="J17" s="146"/>
      <c r="K17" s="96"/>
      <c r="L17" s="149" t="s">
        <v>54</v>
      </c>
      <c r="M17" s="152" t="s">
        <v>55</v>
      </c>
      <c r="N17" s="152" t="s">
        <v>56</v>
      </c>
      <c r="O17" s="152" t="s">
        <v>57</v>
      </c>
      <c r="P17" s="152" t="s">
        <v>58</v>
      </c>
      <c r="Q17" s="152" t="s">
        <v>59</v>
      </c>
      <c r="R17" s="152" t="s">
        <v>57</v>
      </c>
      <c r="S17" s="152" t="s">
        <v>60</v>
      </c>
      <c r="T17" s="152" t="s">
        <v>61</v>
      </c>
      <c r="U17" s="152" t="s">
        <v>62</v>
      </c>
      <c r="V17" s="152" t="s">
        <v>91</v>
      </c>
      <c r="W17" s="152" t="s">
        <v>45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3.5" customHeight="1">
      <c r="A18" s="105" t="s">
        <v>3</v>
      </c>
      <c r="B18" s="106"/>
      <c r="C18" s="106"/>
      <c r="D18" s="107" t="s">
        <v>21</v>
      </c>
      <c r="E18" s="72">
        <v>70</v>
      </c>
      <c r="F18" s="74">
        <v>0.28</v>
      </c>
      <c r="G18" s="112">
        <f>+E18*F18</f>
        <v>19.6</v>
      </c>
      <c r="H18" s="113">
        <f>+G18/$E$8*100</f>
        <v>1.6333333333333335</v>
      </c>
      <c r="I18" s="3"/>
      <c r="J18" s="147" t="s">
        <v>63</v>
      </c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53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3.5" customHeight="1">
      <c r="A19" s="105" t="s">
        <v>80</v>
      </c>
      <c r="B19" s="106"/>
      <c r="C19" s="106"/>
      <c r="D19" s="107" t="s">
        <v>50</v>
      </c>
      <c r="E19" s="72">
        <v>0</v>
      </c>
      <c r="F19" s="74">
        <v>44</v>
      </c>
      <c r="G19" s="112">
        <f>+E19*F19</f>
        <v>0</v>
      </c>
      <c r="H19" s="113">
        <f>+G19/$E$8*100</f>
        <v>0</v>
      </c>
      <c r="I19" s="3"/>
      <c r="J19" s="219" t="s">
        <v>138</v>
      </c>
      <c r="K19" s="219"/>
      <c r="L19" s="61">
        <v>223000</v>
      </c>
      <c r="M19" s="62">
        <v>11.61</v>
      </c>
      <c r="N19" s="154">
        <f>+L19*M19/100</f>
        <v>25890.3</v>
      </c>
      <c r="O19" s="61">
        <v>400</v>
      </c>
      <c r="P19" s="160">
        <f>IF(O19=0," ",+N19/O19)</f>
        <v>64.72575</v>
      </c>
      <c r="Q19" s="61">
        <v>50</v>
      </c>
      <c r="R19" s="157">
        <f>+O19*Q19/100</f>
        <v>200</v>
      </c>
      <c r="S19" s="163">
        <f>IF(R19=0," ",+R19/L15)</f>
        <v>0.2</v>
      </c>
      <c r="T19" s="160">
        <f>+N19*Q19/100/L15</f>
        <v>12.94515</v>
      </c>
      <c r="U19" s="61">
        <v>6000</v>
      </c>
      <c r="V19" s="154">
        <f>+U19*Q19/100</f>
        <v>3000</v>
      </c>
      <c r="W19" s="160">
        <f>+V19/L15</f>
        <v>3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3.5" customHeight="1">
      <c r="A20" s="105" t="s">
        <v>125</v>
      </c>
      <c r="B20" s="106"/>
      <c r="C20" s="106"/>
      <c r="D20" s="107" t="s">
        <v>19</v>
      </c>
      <c r="E20" s="107">
        <v>1</v>
      </c>
      <c r="F20" s="74">
        <v>5.5</v>
      </c>
      <c r="G20" s="112">
        <f>+E20*F20</f>
        <v>5.5</v>
      </c>
      <c r="H20" s="113">
        <f>+G20/$E$8*100</f>
        <v>0.4583333333333333</v>
      </c>
      <c r="I20" s="3"/>
      <c r="J20" s="219" t="s">
        <v>139</v>
      </c>
      <c r="K20" s="219"/>
      <c r="L20" s="61">
        <v>186000</v>
      </c>
      <c r="M20" s="62">
        <v>11.61</v>
      </c>
      <c r="N20" s="154">
        <f>+L20*M20/100</f>
        <v>21594.6</v>
      </c>
      <c r="O20" s="61">
        <v>500</v>
      </c>
      <c r="P20" s="160">
        <f>IF(O20=0," ",+N20/O20)</f>
        <v>43.1892</v>
      </c>
      <c r="Q20" s="61">
        <v>65</v>
      </c>
      <c r="R20" s="157">
        <f>+O20*Q20/100</f>
        <v>325</v>
      </c>
      <c r="S20" s="163">
        <f>IF(R20=0," ",+R20/L15)</f>
        <v>0.325</v>
      </c>
      <c r="T20" s="160">
        <f>+N20*Q20/100/L15</f>
        <v>14.03649</v>
      </c>
      <c r="U20" s="61">
        <v>4900</v>
      </c>
      <c r="V20" s="154">
        <f>+U20*Q20/100</f>
        <v>3185</v>
      </c>
      <c r="W20" s="160">
        <f>+V20/L15</f>
        <v>3.185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3.5" customHeight="1">
      <c r="A21" s="105" t="s">
        <v>102</v>
      </c>
      <c r="B21" s="106"/>
      <c r="C21" s="106"/>
      <c r="D21" s="107"/>
      <c r="E21" s="107"/>
      <c r="F21" s="112"/>
      <c r="G21" s="112"/>
      <c r="H21" s="113"/>
      <c r="I21" s="3"/>
      <c r="J21" s="219" t="s">
        <v>140</v>
      </c>
      <c r="K21" s="219"/>
      <c r="L21" s="61">
        <v>78000</v>
      </c>
      <c r="M21" s="62">
        <v>11.61</v>
      </c>
      <c r="N21" s="154">
        <f>+L21*M21/100</f>
        <v>9055.8</v>
      </c>
      <c r="O21" s="61">
        <v>500</v>
      </c>
      <c r="P21" s="160">
        <f>IF(O21=0," ",+N21/O21)</f>
        <v>18.1116</v>
      </c>
      <c r="Q21" s="61">
        <v>35</v>
      </c>
      <c r="R21" s="157">
        <f>+O21*Q21/100</f>
        <v>175</v>
      </c>
      <c r="S21" s="163">
        <f>IF(R21=0," ",+R21/L15)</f>
        <v>0.175</v>
      </c>
      <c r="T21" s="160">
        <f>IF(N21=0," ",+N21*Q21/100/L15)</f>
        <v>3.1695300000000004</v>
      </c>
      <c r="U21" s="61">
        <v>2000</v>
      </c>
      <c r="V21" s="154">
        <f>+U21*Q21/100</f>
        <v>700</v>
      </c>
      <c r="W21" s="160">
        <f>+V21/L15</f>
        <v>0.7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3.5" customHeight="1">
      <c r="A22" s="105" t="s">
        <v>127</v>
      </c>
      <c r="B22" s="106"/>
      <c r="C22" s="106"/>
      <c r="D22" s="107" t="s">
        <v>19</v>
      </c>
      <c r="E22" s="107">
        <v>1</v>
      </c>
      <c r="F22" s="74">
        <v>17.08</v>
      </c>
      <c r="G22" s="136">
        <f>+E22*F22</f>
        <v>17.08</v>
      </c>
      <c r="H22" s="113">
        <f>+G22/$E$8*100</f>
        <v>1.4233333333333331</v>
      </c>
      <c r="I22" s="3"/>
      <c r="J22" s="156"/>
      <c r="K22" s="150"/>
      <c r="L22" s="150"/>
      <c r="M22" s="150"/>
      <c r="N22" s="150"/>
      <c r="O22" s="150"/>
      <c r="P22" s="150"/>
      <c r="Q22" s="150"/>
      <c r="R22" s="150"/>
      <c r="S22" s="164"/>
      <c r="T22" s="150"/>
      <c r="U22" s="150"/>
      <c r="V22" s="167"/>
      <c r="W22" s="168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3.5" customHeight="1">
      <c r="A23" s="105" t="s">
        <v>113</v>
      </c>
      <c r="B23" s="87"/>
      <c r="C23" s="87"/>
      <c r="D23" s="107" t="s">
        <v>19</v>
      </c>
      <c r="E23" s="137">
        <v>1</v>
      </c>
      <c r="F23" s="74">
        <v>8.61</v>
      </c>
      <c r="G23" s="136">
        <f>+E23*F23</f>
        <v>8.61</v>
      </c>
      <c r="H23" s="134">
        <f>+G23/$E$8*100</f>
        <v>0.7175</v>
      </c>
      <c r="I23" s="3"/>
      <c r="J23" s="140" t="s">
        <v>64</v>
      </c>
      <c r="K23" s="157"/>
      <c r="L23" s="61">
        <v>195000</v>
      </c>
      <c r="M23" s="62">
        <v>14.17</v>
      </c>
      <c r="N23" s="154">
        <f>+L23*M23/100</f>
        <v>27631.5</v>
      </c>
      <c r="O23" s="61">
        <v>250</v>
      </c>
      <c r="P23" s="160">
        <f>IF(O23=0," ",+N23/O23)</f>
        <v>110.526</v>
      </c>
      <c r="Q23" s="61">
        <v>70</v>
      </c>
      <c r="R23" s="154">
        <f>+O23*Q23/100</f>
        <v>175</v>
      </c>
      <c r="S23" s="163">
        <f>IF(R23=0," ",+R23/L15)</f>
        <v>0.175</v>
      </c>
      <c r="T23" s="160">
        <f>+N23*Q23/100/L15</f>
        <v>19.34205</v>
      </c>
      <c r="U23" s="61">
        <v>5300</v>
      </c>
      <c r="V23" s="154">
        <f>+U23*Q23/100</f>
        <v>3710</v>
      </c>
      <c r="W23" s="160">
        <f>+V23/L15</f>
        <v>3.71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3.5" customHeight="1">
      <c r="A24" s="105" t="s">
        <v>114</v>
      </c>
      <c r="B24" s="106"/>
      <c r="C24" s="106"/>
      <c r="D24" s="107" t="s">
        <v>19</v>
      </c>
      <c r="E24" s="107">
        <v>1</v>
      </c>
      <c r="F24" s="74">
        <v>40.08</v>
      </c>
      <c r="G24" s="112">
        <f>+F24*E24</f>
        <v>40.08</v>
      </c>
      <c r="H24" s="113">
        <f>+G24/$E$8*100</f>
        <v>3.34</v>
      </c>
      <c r="I24" s="3"/>
      <c r="J24" s="156"/>
      <c r="K24" s="150"/>
      <c r="L24" s="150"/>
      <c r="M24" s="150"/>
      <c r="N24" s="150"/>
      <c r="O24" s="150"/>
      <c r="P24" s="150"/>
      <c r="Q24" s="150"/>
      <c r="R24" s="150"/>
      <c r="S24" s="164"/>
      <c r="T24" s="150"/>
      <c r="U24" s="150"/>
      <c r="V24" s="167"/>
      <c r="W24" s="168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3.5" customHeight="1">
      <c r="A25" s="105" t="s">
        <v>115</v>
      </c>
      <c r="B25" s="106"/>
      <c r="C25" s="106"/>
      <c r="D25" s="107" t="s">
        <v>19</v>
      </c>
      <c r="E25" s="107">
        <v>1</v>
      </c>
      <c r="F25" s="74">
        <v>15.2</v>
      </c>
      <c r="G25" s="112">
        <f>+E25*F25</f>
        <v>15.2</v>
      </c>
      <c r="H25" s="113">
        <f>+G25/$E$8*100</f>
        <v>1.2666666666666666</v>
      </c>
      <c r="I25" s="3"/>
      <c r="J25" s="142" t="s">
        <v>65</v>
      </c>
      <c r="K25" s="151"/>
      <c r="L25" s="61">
        <v>465000</v>
      </c>
      <c r="M25" s="62">
        <v>13.81</v>
      </c>
      <c r="N25" s="154">
        <f>+L25*M25/100</f>
        <v>64216.5</v>
      </c>
      <c r="O25" s="61">
        <v>170</v>
      </c>
      <c r="P25" s="160">
        <f>IF(O25=0," ",+N25/O25)</f>
        <v>377.74411764705883</v>
      </c>
      <c r="Q25" s="61">
        <v>100</v>
      </c>
      <c r="R25" s="157">
        <f>+O25*Q25/100</f>
        <v>170</v>
      </c>
      <c r="S25" s="163">
        <f>IF(R25=0," ",+R25/L15)</f>
        <v>0.17</v>
      </c>
      <c r="T25" s="160">
        <f>+N25*Q25/100/L15</f>
        <v>64.2165</v>
      </c>
      <c r="U25" s="61">
        <v>12800</v>
      </c>
      <c r="V25" s="154">
        <f>+U25*Q25/100</f>
        <v>12800</v>
      </c>
      <c r="W25" s="160">
        <f>+V25/L15</f>
        <v>12.8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3.5" customHeight="1">
      <c r="A26" s="105" t="s">
        <v>84</v>
      </c>
      <c r="B26" s="106"/>
      <c r="C26" s="106"/>
      <c r="D26" s="107" t="s">
        <v>19</v>
      </c>
      <c r="E26" s="107">
        <v>1</v>
      </c>
      <c r="F26" s="74">
        <v>10</v>
      </c>
      <c r="G26" s="112">
        <f>+E26*F26</f>
        <v>10</v>
      </c>
      <c r="H26" s="113">
        <f>+G26/$E$8*100</f>
        <v>0.8333333333333334</v>
      </c>
      <c r="I26" s="3"/>
      <c r="J26" s="146"/>
      <c r="K26" s="96"/>
      <c r="L26" s="96"/>
      <c r="M26" s="158"/>
      <c r="N26" s="96"/>
      <c r="O26" s="96"/>
      <c r="P26" s="161"/>
      <c r="Q26" s="96"/>
      <c r="R26" s="96"/>
      <c r="S26" s="161"/>
      <c r="T26" s="161"/>
      <c r="U26" s="96"/>
      <c r="V26" s="96"/>
      <c r="W26" s="165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3.5" customHeight="1">
      <c r="A27" s="105" t="s">
        <v>83</v>
      </c>
      <c r="B27" s="106"/>
      <c r="C27" s="106"/>
      <c r="D27" s="106"/>
      <c r="E27" s="106"/>
      <c r="F27" s="106"/>
      <c r="G27" s="107"/>
      <c r="H27" s="113"/>
      <c r="I27" s="3"/>
      <c r="J27" s="142" t="s">
        <v>66</v>
      </c>
      <c r="K27" s="143"/>
      <c r="L27" s="143"/>
      <c r="M27" s="159"/>
      <c r="N27" s="155">
        <f>SUM(N18:N26)</f>
        <v>148388.7</v>
      </c>
      <c r="O27" s="143"/>
      <c r="P27" s="162"/>
      <c r="Q27" s="155">
        <f>+Q19/100*N19+Q20/100*N20+Q21/100*N21+Q23/100*N23+Q25/100*N25</f>
        <v>113709.72</v>
      </c>
      <c r="R27" s="143"/>
      <c r="S27" s="162"/>
      <c r="T27" s="162">
        <f>SUM(T19:T26)</f>
        <v>113.70972</v>
      </c>
      <c r="U27" s="155">
        <f>SUM(U19:U26)</f>
        <v>31000</v>
      </c>
      <c r="V27" s="155">
        <f>SUM(V19:V26)</f>
        <v>23395</v>
      </c>
      <c r="W27" s="166">
        <f>SUM(W19:W26)</f>
        <v>23.395000000000003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3.5" customHeight="1">
      <c r="A28" s="105" t="s">
        <v>85</v>
      </c>
      <c r="B28" s="106"/>
      <c r="C28" s="106"/>
      <c r="D28" s="107" t="s">
        <v>19</v>
      </c>
      <c r="E28" s="107">
        <v>1</v>
      </c>
      <c r="F28" s="74">
        <v>10</v>
      </c>
      <c r="G28" s="112">
        <f>+F28</f>
        <v>10</v>
      </c>
      <c r="H28" s="113">
        <f aca="true" t="shared" si="1" ref="H28:H36">+G28/$E$8*100</f>
        <v>0.8333333333333334</v>
      </c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3.5" customHeight="1">
      <c r="A29" s="105" t="s">
        <v>116</v>
      </c>
      <c r="B29" s="106"/>
      <c r="C29" s="106"/>
      <c r="D29" s="107" t="s">
        <v>21</v>
      </c>
      <c r="E29" s="72">
        <v>0</v>
      </c>
      <c r="F29" s="74">
        <v>0</v>
      </c>
      <c r="G29" s="112">
        <f aca="true" t="shared" si="2" ref="G29:G36">+E29*F29</f>
        <v>0</v>
      </c>
      <c r="H29" s="113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3.5" customHeight="1">
      <c r="A30" s="105" t="s">
        <v>98</v>
      </c>
      <c r="B30" s="106"/>
      <c r="C30" s="106"/>
      <c r="D30" s="107" t="s">
        <v>107</v>
      </c>
      <c r="E30" s="72">
        <v>0</v>
      </c>
      <c r="F30" s="74">
        <v>0</v>
      </c>
      <c r="G30" s="112">
        <f t="shared" si="2"/>
        <v>0</v>
      </c>
      <c r="H30" s="113">
        <f t="shared" si="1"/>
        <v>0</v>
      </c>
      <c r="I30" s="3"/>
      <c r="J30" s="169" t="s">
        <v>67</v>
      </c>
      <c r="K30" s="170"/>
      <c r="L30" s="63">
        <v>1.9</v>
      </c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7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3.5" customHeight="1">
      <c r="A31" s="105" t="s">
        <v>79</v>
      </c>
      <c r="B31" s="106"/>
      <c r="C31" s="106"/>
      <c r="D31" s="107" t="s">
        <v>107</v>
      </c>
      <c r="E31" s="72">
        <v>2</v>
      </c>
      <c r="F31" s="74">
        <v>4.98</v>
      </c>
      <c r="G31" s="112">
        <f t="shared" si="2"/>
        <v>9.96</v>
      </c>
      <c r="H31" s="113">
        <f t="shared" si="1"/>
        <v>0.83</v>
      </c>
      <c r="I31" s="3"/>
      <c r="J31" s="144"/>
      <c r="K31" s="171"/>
      <c r="L31" s="174" t="s">
        <v>81</v>
      </c>
      <c r="M31" s="171"/>
      <c r="N31" s="178"/>
      <c r="O31" s="214" t="s">
        <v>52</v>
      </c>
      <c r="P31" s="215"/>
      <c r="Q31" s="216"/>
      <c r="R31" s="214" t="s">
        <v>68</v>
      </c>
      <c r="S31" s="216"/>
      <c r="T31" s="214" t="s">
        <v>53</v>
      </c>
      <c r="U31" s="215"/>
      <c r="V31" s="216"/>
      <c r="W31" s="214" t="s">
        <v>69</v>
      </c>
      <c r="X31" s="215"/>
      <c r="Y31" s="216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3.5" customHeight="1">
      <c r="A32" s="105" t="s">
        <v>117</v>
      </c>
      <c r="B32" s="106"/>
      <c r="C32" s="106"/>
      <c r="D32" s="107" t="s">
        <v>19</v>
      </c>
      <c r="E32" s="107">
        <v>1</v>
      </c>
      <c r="F32" s="74">
        <v>0</v>
      </c>
      <c r="G32" s="112">
        <f t="shared" si="2"/>
        <v>0</v>
      </c>
      <c r="H32" s="113">
        <f t="shared" si="1"/>
        <v>0</v>
      </c>
      <c r="I32" s="3"/>
      <c r="J32" s="172" t="s">
        <v>70</v>
      </c>
      <c r="K32" s="173"/>
      <c r="L32" s="175" t="s">
        <v>82</v>
      </c>
      <c r="M32" s="175" t="s">
        <v>71</v>
      </c>
      <c r="N32" s="175" t="s">
        <v>72</v>
      </c>
      <c r="O32" s="179" t="s">
        <v>54</v>
      </c>
      <c r="P32" s="179" t="s">
        <v>55</v>
      </c>
      <c r="Q32" s="179" t="s">
        <v>56</v>
      </c>
      <c r="R32" s="179" t="s">
        <v>59</v>
      </c>
      <c r="S32" s="179" t="s">
        <v>61</v>
      </c>
      <c r="T32" s="179" t="s">
        <v>62</v>
      </c>
      <c r="U32" s="179" t="s">
        <v>91</v>
      </c>
      <c r="V32" s="179" t="s">
        <v>45</v>
      </c>
      <c r="W32" s="179" t="s">
        <v>60</v>
      </c>
      <c r="X32" s="179" t="s">
        <v>73</v>
      </c>
      <c r="Y32" s="179" t="s">
        <v>74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3.5" customHeight="1">
      <c r="A33" s="105" t="s">
        <v>118</v>
      </c>
      <c r="B33" s="106"/>
      <c r="C33" s="106"/>
      <c r="D33" s="107" t="s">
        <v>19</v>
      </c>
      <c r="E33" s="107">
        <v>1</v>
      </c>
      <c r="F33" s="74">
        <v>0</v>
      </c>
      <c r="G33" s="112">
        <f t="shared" si="2"/>
        <v>0</v>
      </c>
      <c r="H33" s="113">
        <f t="shared" si="1"/>
        <v>0</v>
      </c>
      <c r="I33" s="3"/>
      <c r="J33" s="223" t="s">
        <v>128</v>
      </c>
      <c r="K33" s="223"/>
      <c r="L33" s="64">
        <v>9800</v>
      </c>
      <c r="M33" s="64">
        <v>200</v>
      </c>
      <c r="N33" s="65">
        <v>40</v>
      </c>
      <c r="O33" s="64"/>
      <c r="P33" s="66"/>
      <c r="Q33" s="180">
        <f aca="true" t="shared" si="3" ref="Q33:Q45">+O33*P33/100</f>
        <v>0</v>
      </c>
      <c r="R33" s="69"/>
      <c r="S33" s="182">
        <f>+Q33*R33/100/L15</f>
        <v>0</v>
      </c>
      <c r="T33" s="64"/>
      <c r="U33" s="184">
        <f aca="true" t="shared" si="4" ref="U33:U42">+T33*R33/100</f>
        <v>0</v>
      </c>
      <c r="V33" s="182">
        <f>+U33/L15</f>
        <v>0</v>
      </c>
      <c r="W33" s="185">
        <f aca="true" t="shared" si="5" ref="W33:W45">IF(N33=0," ",1/N33)</f>
        <v>0.025</v>
      </c>
      <c r="X33" s="182">
        <f aca="true" t="shared" si="6" ref="X33:X45">+M33*0.044</f>
        <v>8.799999999999999</v>
      </c>
      <c r="Y33" s="182">
        <f>IF(W33=" "," ",+X33*W33*1.15*L30)</f>
        <v>0.48069999999999985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3.5" customHeight="1">
      <c r="A34" s="105" t="s">
        <v>4</v>
      </c>
      <c r="B34" s="106"/>
      <c r="C34" s="106"/>
      <c r="D34" s="107" t="s">
        <v>40</v>
      </c>
      <c r="E34" s="72">
        <v>36</v>
      </c>
      <c r="F34" s="73">
        <v>0.055</v>
      </c>
      <c r="G34" s="112">
        <f t="shared" si="2"/>
        <v>1.98</v>
      </c>
      <c r="H34" s="113">
        <f t="shared" si="1"/>
        <v>0.165</v>
      </c>
      <c r="I34" s="3"/>
      <c r="J34" s="80" t="s">
        <v>129</v>
      </c>
      <c r="K34" s="80"/>
      <c r="L34" s="64">
        <v>2000</v>
      </c>
      <c r="M34" s="64">
        <v>230</v>
      </c>
      <c r="N34" s="65">
        <v>10.5</v>
      </c>
      <c r="O34" s="64">
        <v>50000</v>
      </c>
      <c r="P34" s="66">
        <v>12.25</v>
      </c>
      <c r="Q34" s="180">
        <f t="shared" si="3"/>
        <v>6125</v>
      </c>
      <c r="R34" s="69">
        <v>50</v>
      </c>
      <c r="S34" s="182">
        <f>+Q34*R34/100/L15</f>
        <v>3.0625</v>
      </c>
      <c r="T34" s="64">
        <v>1500</v>
      </c>
      <c r="U34" s="184">
        <f t="shared" si="4"/>
        <v>750</v>
      </c>
      <c r="V34" s="182">
        <f>+U34/L15</f>
        <v>0.75</v>
      </c>
      <c r="W34" s="185">
        <f t="shared" si="5"/>
        <v>0.09523809523809523</v>
      </c>
      <c r="X34" s="182">
        <f t="shared" si="6"/>
        <v>10.12</v>
      </c>
      <c r="Y34" s="182">
        <f>IF(W34=" "," ",+X34*W34*1.15*L30)</f>
        <v>2.105923809523809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3.5" customHeight="1">
      <c r="A35" s="105" t="s">
        <v>100</v>
      </c>
      <c r="B35" s="106"/>
      <c r="C35" s="106"/>
      <c r="D35" s="107" t="s">
        <v>19</v>
      </c>
      <c r="E35" s="107">
        <v>1</v>
      </c>
      <c r="F35" s="74">
        <v>12.01</v>
      </c>
      <c r="G35" s="112">
        <f t="shared" si="2"/>
        <v>12.01</v>
      </c>
      <c r="H35" s="113">
        <f t="shared" si="1"/>
        <v>1.0008333333333332</v>
      </c>
      <c r="I35" s="3"/>
      <c r="J35" s="80" t="s">
        <v>104</v>
      </c>
      <c r="K35" s="80"/>
      <c r="L35" s="64">
        <v>9800</v>
      </c>
      <c r="M35" s="64">
        <v>200</v>
      </c>
      <c r="N35" s="65">
        <v>40</v>
      </c>
      <c r="O35" s="64"/>
      <c r="P35" s="66"/>
      <c r="Q35" s="180">
        <f t="shared" si="3"/>
        <v>0</v>
      </c>
      <c r="R35" s="69"/>
      <c r="S35" s="182">
        <f>+Q35*R35/100/L15</f>
        <v>0</v>
      </c>
      <c r="T35" s="64"/>
      <c r="U35" s="184">
        <f t="shared" si="4"/>
        <v>0</v>
      </c>
      <c r="V35" s="182">
        <f>+U35/L15</f>
        <v>0</v>
      </c>
      <c r="W35" s="185">
        <f t="shared" si="5"/>
        <v>0.025</v>
      </c>
      <c r="X35" s="182">
        <f t="shared" si="6"/>
        <v>8.799999999999999</v>
      </c>
      <c r="Y35" s="182">
        <f>IF(W35=" "," ",+X35*W35*1.15*L30)</f>
        <v>0.48069999999999985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3.5" customHeight="1">
      <c r="A36" s="105" t="s">
        <v>145</v>
      </c>
      <c r="B36" s="194"/>
      <c r="C36" s="194"/>
      <c r="D36" s="107" t="s">
        <v>107</v>
      </c>
      <c r="E36" s="72">
        <v>7</v>
      </c>
      <c r="F36" s="74">
        <v>8.25</v>
      </c>
      <c r="G36" s="112">
        <f t="shared" si="2"/>
        <v>57.75</v>
      </c>
      <c r="H36" s="113">
        <f t="shared" si="1"/>
        <v>4.8125</v>
      </c>
      <c r="I36" s="3"/>
      <c r="J36" s="80" t="s">
        <v>105</v>
      </c>
      <c r="K36" s="80"/>
      <c r="L36" s="64">
        <v>9800</v>
      </c>
      <c r="M36" s="64">
        <v>200</v>
      </c>
      <c r="N36" s="65">
        <v>40</v>
      </c>
      <c r="O36" s="67"/>
      <c r="P36" s="68"/>
      <c r="Q36" s="180">
        <f t="shared" si="3"/>
        <v>0</v>
      </c>
      <c r="R36" s="69"/>
      <c r="S36" s="182">
        <f>+Q36*R36/100/L15</f>
        <v>0</v>
      </c>
      <c r="T36" s="64"/>
      <c r="U36" s="184">
        <f t="shared" si="4"/>
        <v>0</v>
      </c>
      <c r="V36" s="182">
        <f>+U36/L15</f>
        <v>0</v>
      </c>
      <c r="W36" s="185">
        <f t="shared" si="5"/>
        <v>0.025</v>
      </c>
      <c r="X36" s="182">
        <f t="shared" si="6"/>
        <v>8.799999999999999</v>
      </c>
      <c r="Y36" s="182">
        <f>IF(W36=" "," ",+X36*W36*1.15*L30)</f>
        <v>0.48069999999999985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3.5" customHeight="1">
      <c r="A37" s="105" t="s">
        <v>6</v>
      </c>
      <c r="B37" s="106"/>
      <c r="C37" s="106"/>
      <c r="D37" s="107"/>
      <c r="E37" s="107"/>
      <c r="F37" s="107"/>
      <c r="G37" s="107"/>
      <c r="H37" s="113"/>
      <c r="I37" s="3"/>
      <c r="J37" s="236" t="s">
        <v>126</v>
      </c>
      <c r="K37" s="237"/>
      <c r="L37" s="64">
        <v>1300</v>
      </c>
      <c r="M37" s="64">
        <v>190</v>
      </c>
      <c r="N37" s="65">
        <v>12.5</v>
      </c>
      <c r="O37" s="64">
        <v>17000</v>
      </c>
      <c r="P37" s="66">
        <v>12.25</v>
      </c>
      <c r="Q37" s="180">
        <f t="shared" si="3"/>
        <v>2082.5</v>
      </c>
      <c r="R37" s="69">
        <v>70</v>
      </c>
      <c r="S37" s="182">
        <f>+Q37*R37/100/L15</f>
        <v>1.45775</v>
      </c>
      <c r="T37" s="64">
        <v>425</v>
      </c>
      <c r="U37" s="184">
        <f t="shared" si="4"/>
        <v>297.5</v>
      </c>
      <c r="V37" s="182">
        <f>+U37/L15</f>
        <v>0.2975</v>
      </c>
      <c r="W37" s="185">
        <f t="shared" si="5"/>
        <v>0.08</v>
      </c>
      <c r="X37" s="182">
        <f t="shared" si="6"/>
        <v>8.36</v>
      </c>
      <c r="Y37" s="182">
        <f>IF(W37=" "," ",+X37*W37*1.15*L30)</f>
        <v>1.4613279999999997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3.5" customHeight="1">
      <c r="A38" s="105" t="s">
        <v>7</v>
      </c>
      <c r="B38" s="106"/>
      <c r="C38" s="106"/>
      <c r="D38" s="107" t="s">
        <v>22</v>
      </c>
      <c r="E38" s="112">
        <f>+Y51/L30</f>
        <v>11.100578175948344</v>
      </c>
      <c r="F38" s="74">
        <v>1.9</v>
      </c>
      <c r="G38" s="112">
        <f>+E38*F38</f>
        <v>21.091098534301853</v>
      </c>
      <c r="H38" s="113">
        <f aca="true" t="shared" si="7" ref="H38:H43">+G38/$E$8*100</f>
        <v>1.7575915445251544</v>
      </c>
      <c r="I38" s="3"/>
      <c r="J38" s="80" t="s">
        <v>106</v>
      </c>
      <c r="K38" s="80"/>
      <c r="L38" s="64">
        <v>1300</v>
      </c>
      <c r="M38" s="64">
        <v>190</v>
      </c>
      <c r="N38" s="65">
        <v>12.5</v>
      </c>
      <c r="O38" s="64">
        <v>12500</v>
      </c>
      <c r="P38" s="66">
        <v>12.25</v>
      </c>
      <c r="Q38" s="180">
        <f t="shared" si="3"/>
        <v>1531.25</v>
      </c>
      <c r="R38" s="64">
        <v>70</v>
      </c>
      <c r="S38" s="182">
        <f>+Q38*R36/100/L15</f>
        <v>0</v>
      </c>
      <c r="T38" s="64">
        <v>315</v>
      </c>
      <c r="U38" s="184">
        <f t="shared" si="4"/>
        <v>220.5</v>
      </c>
      <c r="V38" s="182">
        <f>+U38/L15</f>
        <v>0.2205</v>
      </c>
      <c r="W38" s="185">
        <f t="shared" si="5"/>
        <v>0.08</v>
      </c>
      <c r="X38" s="182">
        <f t="shared" si="6"/>
        <v>8.36</v>
      </c>
      <c r="Y38" s="182">
        <f>IF(W38=" "," ",+X38*W38*1.15*L30)</f>
        <v>1.4613279999999997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3.5" customHeight="1">
      <c r="A39" s="105" t="s">
        <v>8</v>
      </c>
      <c r="B39" s="106"/>
      <c r="C39" s="106"/>
      <c r="D39" s="107" t="s">
        <v>19</v>
      </c>
      <c r="E39" s="107">
        <v>1</v>
      </c>
      <c r="F39" s="112">
        <f>+V51+W27</f>
        <v>27.413000000000004</v>
      </c>
      <c r="G39" s="112">
        <f>+E39*F39</f>
        <v>27.413000000000004</v>
      </c>
      <c r="H39" s="113">
        <f t="shared" si="7"/>
        <v>2.284416666666667</v>
      </c>
      <c r="I39" s="3"/>
      <c r="J39" s="80" t="s">
        <v>86</v>
      </c>
      <c r="K39" s="80"/>
      <c r="L39" s="64">
        <v>9800</v>
      </c>
      <c r="M39" s="64">
        <v>200</v>
      </c>
      <c r="N39" s="65">
        <v>40</v>
      </c>
      <c r="O39" s="67"/>
      <c r="P39" s="68"/>
      <c r="Q39" s="180">
        <f t="shared" si="3"/>
        <v>0</v>
      </c>
      <c r="R39" s="69"/>
      <c r="S39" s="182">
        <f>+Q39*R39/100/L15</f>
        <v>0</v>
      </c>
      <c r="T39" s="64"/>
      <c r="U39" s="184">
        <f t="shared" si="4"/>
        <v>0</v>
      </c>
      <c r="V39" s="182">
        <f>+U39/L15</f>
        <v>0</v>
      </c>
      <c r="W39" s="185">
        <f t="shared" si="5"/>
        <v>0.025</v>
      </c>
      <c r="X39" s="182">
        <f t="shared" si="6"/>
        <v>8.799999999999999</v>
      </c>
      <c r="Y39" s="182">
        <f>IF(W39=" "," ",+X39*W39*1.15*L30)</f>
        <v>0.48069999999999985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3.5" customHeight="1">
      <c r="A40" s="105" t="s">
        <v>99</v>
      </c>
      <c r="B40" s="106"/>
      <c r="C40" s="106"/>
      <c r="D40" s="107" t="s">
        <v>107</v>
      </c>
      <c r="E40" s="72">
        <v>0</v>
      </c>
      <c r="F40" s="74">
        <v>0</v>
      </c>
      <c r="G40" s="112">
        <f>+E40*F40</f>
        <v>0</v>
      </c>
      <c r="H40" s="113">
        <f t="shared" si="7"/>
        <v>0</v>
      </c>
      <c r="I40" s="3"/>
      <c r="J40" s="80" t="s">
        <v>87</v>
      </c>
      <c r="K40" s="80"/>
      <c r="L40" s="64">
        <v>9800</v>
      </c>
      <c r="M40" s="64">
        <v>200</v>
      </c>
      <c r="N40" s="65">
        <v>40</v>
      </c>
      <c r="O40" s="64"/>
      <c r="P40" s="66"/>
      <c r="Q40" s="180">
        <f t="shared" si="3"/>
        <v>0</v>
      </c>
      <c r="R40" s="69"/>
      <c r="S40" s="182">
        <f>+Q40*R40/100/L15</f>
        <v>0</v>
      </c>
      <c r="T40" s="64"/>
      <c r="U40" s="184">
        <f t="shared" si="4"/>
        <v>0</v>
      </c>
      <c r="V40" s="182">
        <f>+U40/L15</f>
        <v>0</v>
      </c>
      <c r="W40" s="185">
        <f t="shared" si="5"/>
        <v>0.025</v>
      </c>
      <c r="X40" s="182">
        <f t="shared" si="6"/>
        <v>8.799999999999999</v>
      </c>
      <c r="Y40" s="182">
        <f>IF(W40=" "," ",+X40*W40*1.15*L30)</f>
        <v>0.48069999999999985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3.5" customHeight="1">
      <c r="A41" s="105" t="s">
        <v>9</v>
      </c>
      <c r="B41" s="107"/>
      <c r="C41" s="107"/>
      <c r="D41" s="107" t="s">
        <v>19</v>
      </c>
      <c r="E41" s="107">
        <v>1</v>
      </c>
      <c r="F41" s="74">
        <v>0</v>
      </c>
      <c r="G41" s="112">
        <f>+E41*F41</f>
        <v>0</v>
      </c>
      <c r="H41" s="113">
        <f t="shared" si="7"/>
        <v>0</v>
      </c>
      <c r="I41" s="3"/>
      <c r="J41" s="80" t="s">
        <v>108</v>
      </c>
      <c r="K41" s="80"/>
      <c r="L41" s="64">
        <v>9800</v>
      </c>
      <c r="M41" s="64">
        <v>200</v>
      </c>
      <c r="N41" s="65">
        <v>40</v>
      </c>
      <c r="O41" s="64"/>
      <c r="P41" s="66"/>
      <c r="Q41" s="180">
        <f t="shared" si="3"/>
        <v>0</v>
      </c>
      <c r="R41" s="69"/>
      <c r="S41" s="182">
        <f>+Q41*R41/100/L15</f>
        <v>0</v>
      </c>
      <c r="T41" s="64"/>
      <c r="U41" s="184">
        <f t="shared" si="4"/>
        <v>0</v>
      </c>
      <c r="V41" s="182">
        <f>+U41/L15</f>
        <v>0</v>
      </c>
      <c r="W41" s="185">
        <f t="shared" si="5"/>
        <v>0.025</v>
      </c>
      <c r="X41" s="182">
        <f t="shared" si="6"/>
        <v>8.799999999999999</v>
      </c>
      <c r="Y41" s="182">
        <f>IF(W41=" "," ",+X41*W41*1.15*L30)</f>
        <v>0.48069999999999985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3.5" customHeight="1">
      <c r="A42" s="105" t="s">
        <v>101</v>
      </c>
      <c r="B42" s="107" t="s">
        <v>78</v>
      </c>
      <c r="C42" s="74">
        <v>1.65</v>
      </c>
      <c r="D42" s="107" t="s">
        <v>23</v>
      </c>
      <c r="E42" s="112">
        <f>+W51*C42</f>
        <v>1.706018765133172</v>
      </c>
      <c r="F42" s="74">
        <v>12.5</v>
      </c>
      <c r="G42" s="112">
        <f>+E42*F42</f>
        <v>21.32523456416465</v>
      </c>
      <c r="H42" s="113">
        <f t="shared" si="7"/>
        <v>1.777102880347054</v>
      </c>
      <c r="I42" s="3"/>
      <c r="J42" s="80" t="s">
        <v>88</v>
      </c>
      <c r="K42" s="80"/>
      <c r="L42" s="64">
        <v>9800</v>
      </c>
      <c r="M42" s="64">
        <v>200</v>
      </c>
      <c r="N42" s="65">
        <v>40</v>
      </c>
      <c r="O42" s="64"/>
      <c r="P42" s="66"/>
      <c r="Q42" s="180">
        <f t="shared" si="3"/>
        <v>0</v>
      </c>
      <c r="R42" s="69"/>
      <c r="S42" s="182">
        <f>+Q42*R42/100/$L$15</f>
        <v>0</v>
      </c>
      <c r="T42" s="64"/>
      <c r="U42" s="184">
        <f t="shared" si="4"/>
        <v>0</v>
      </c>
      <c r="V42" s="182">
        <f>+U42/$L$15</f>
        <v>0</v>
      </c>
      <c r="W42" s="185">
        <f t="shared" si="5"/>
        <v>0.025</v>
      </c>
      <c r="X42" s="182">
        <f t="shared" si="6"/>
        <v>8.799999999999999</v>
      </c>
      <c r="Y42" s="182">
        <f>IF(W42=" "," ",+X42*W42*1.15*$L$30)</f>
        <v>0.48069999999999985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3.5" customHeight="1">
      <c r="A43" s="105" t="s">
        <v>48</v>
      </c>
      <c r="B43" s="107" t="s">
        <v>49</v>
      </c>
      <c r="C43" s="72">
        <v>6</v>
      </c>
      <c r="D43" s="108">
        <f>SUM(G11:G42)</f>
        <v>474.76578927146653</v>
      </c>
      <c r="E43" s="112">
        <f>+C43/12</f>
        <v>0.5</v>
      </c>
      <c r="F43" s="75">
        <v>0.065</v>
      </c>
      <c r="G43" s="112">
        <f>+D43*F43*E43</f>
        <v>15.429888151322663</v>
      </c>
      <c r="H43" s="113">
        <f t="shared" si="7"/>
        <v>1.2858240126102218</v>
      </c>
      <c r="I43" s="3"/>
      <c r="J43" s="217"/>
      <c r="K43" s="218"/>
      <c r="L43" s="67"/>
      <c r="M43" s="67"/>
      <c r="N43" s="67"/>
      <c r="O43" s="67"/>
      <c r="P43" s="67"/>
      <c r="Q43" s="180">
        <f t="shared" si="3"/>
        <v>0</v>
      </c>
      <c r="R43" s="67"/>
      <c r="S43" s="182">
        <f>+Q43*R43/100/$L$15</f>
        <v>0</v>
      </c>
      <c r="T43" s="67"/>
      <c r="U43" s="184">
        <f aca="true" t="shared" si="8" ref="U43:U50">+T43*R43/100</f>
        <v>0</v>
      </c>
      <c r="V43" s="182">
        <f>+U43/$L$15</f>
        <v>0</v>
      </c>
      <c r="W43" s="185" t="str">
        <f t="shared" si="5"/>
        <v> </v>
      </c>
      <c r="X43" s="182">
        <f t="shared" si="6"/>
        <v>0</v>
      </c>
      <c r="Y43" s="182" t="str">
        <f>IF(W43=" "," ",+X43*W43*1.15*$L$30)</f>
        <v> </v>
      </c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3.5" customHeight="1">
      <c r="A44" s="105" t="s">
        <v>10</v>
      </c>
      <c r="B44" s="107"/>
      <c r="C44" s="107"/>
      <c r="D44" s="107"/>
      <c r="E44" s="107"/>
      <c r="F44" s="107"/>
      <c r="G44" s="112"/>
      <c r="H44" s="113"/>
      <c r="I44" s="3"/>
      <c r="J44" s="217"/>
      <c r="K44" s="218"/>
      <c r="L44" s="67"/>
      <c r="M44" s="67"/>
      <c r="N44" s="67"/>
      <c r="O44" s="67"/>
      <c r="P44" s="67"/>
      <c r="Q44" s="180">
        <f t="shared" si="3"/>
        <v>0</v>
      </c>
      <c r="R44" s="67"/>
      <c r="S44" s="182">
        <f>+Q44*R44/100/$L$15</f>
        <v>0</v>
      </c>
      <c r="T44" s="67"/>
      <c r="U44" s="184">
        <f t="shared" si="8"/>
        <v>0</v>
      </c>
      <c r="V44" s="182">
        <f>+U44/$L$15</f>
        <v>0</v>
      </c>
      <c r="W44" s="185" t="str">
        <f t="shared" si="5"/>
        <v> </v>
      </c>
      <c r="X44" s="182">
        <f t="shared" si="6"/>
        <v>0</v>
      </c>
      <c r="Y44" s="182" t="str">
        <f>IF(W44=" "," ",+X44*W44*1.15*$L$30)</f>
        <v> 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3.5" customHeight="1">
      <c r="A45" s="105" t="s">
        <v>11</v>
      </c>
      <c r="B45" s="107"/>
      <c r="C45" s="107"/>
      <c r="D45" s="107" t="s">
        <v>21</v>
      </c>
      <c r="E45" s="107">
        <f>+E8</f>
        <v>1200</v>
      </c>
      <c r="F45" s="73">
        <v>0.08</v>
      </c>
      <c r="G45" s="112">
        <f>+E45*F45</f>
        <v>96</v>
      </c>
      <c r="H45" s="113">
        <f>+G45/$E$8*100</f>
        <v>8</v>
      </c>
      <c r="I45" s="3"/>
      <c r="J45" s="217"/>
      <c r="K45" s="218"/>
      <c r="L45" s="202"/>
      <c r="M45" s="202"/>
      <c r="N45" s="202"/>
      <c r="O45" s="202"/>
      <c r="P45" s="202"/>
      <c r="Q45" s="180">
        <f t="shared" si="3"/>
        <v>0</v>
      </c>
      <c r="R45" s="202"/>
      <c r="S45" s="182">
        <f>+Q45*R45/100/$L$15</f>
        <v>0</v>
      </c>
      <c r="T45" s="202"/>
      <c r="U45" s="184">
        <f t="shared" si="8"/>
        <v>0</v>
      </c>
      <c r="V45" s="182">
        <f>+U45/$L$15</f>
        <v>0</v>
      </c>
      <c r="W45" s="185" t="str">
        <f t="shared" si="5"/>
        <v> </v>
      </c>
      <c r="X45" s="182">
        <f t="shared" si="6"/>
        <v>0</v>
      </c>
      <c r="Y45" s="182" t="str">
        <f>IF(W45=" "," ",+X45*W45*1.15*$L$30)</f>
        <v> 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3.5" customHeight="1">
      <c r="A46" s="105" t="s">
        <v>124</v>
      </c>
      <c r="B46" s="87"/>
      <c r="C46" s="87"/>
      <c r="D46" s="110" t="s">
        <v>24</v>
      </c>
      <c r="E46" s="111">
        <f>+E45/496</f>
        <v>2.4193548387096775</v>
      </c>
      <c r="F46" s="76">
        <v>0</v>
      </c>
      <c r="G46" s="111">
        <f>+E46*F46</f>
        <v>0</v>
      </c>
      <c r="H46" s="114">
        <f>+G46/E8*100</f>
        <v>0</v>
      </c>
      <c r="I46" s="55"/>
      <c r="J46" s="117" t="s">
        <v>119</v>
      </c>
      <c r="K46" s="118"/>
      <c r="L46" s="119">
        <v>1000</v>
      </c>
      <c r="M46" s="64">
        <v>350</v>
      </c>
      <c r="N46" s="66">
        <v>5.9</v>
      </c>
      <c r="O46" s="119"/>
      <c r="P46" s="182"/>
      <c r="Q46" s="119">
        <f>+O46*P46/100</f>
        <v>0</v>
      </c>
      <c r="R46" s="180"/>
      <c r="S46" s="182">
        <f>+Q46*R46/100/L15</f>
        <v>0</v>
      </c>
      <c r="T46" s="119"/>
      <c r="U46" s="184">
        <f t="shared" si="8"/>
        <v>0</v>
      </c>
      <c r="V46" s="182">
        <f>+U46/L15</f>
        <v>0</v>
      </c>
      <c r="W46" s="185">
        <f>IF(N46=0," ",1/N46)</f>
        <v>0.1694915254237288</v>
      </c>
      <c r="X46" s="182">
        <f>+M46*0.044</f>
        <v>15.399999999999999</v>
      </c>
      <c r="Y46" s="182">
        <f>IF(W46=" "," ",+X46*W46*1.15*L30)</f>
        <v>5.70322033898305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3.5" customHeight="1">
      <c r="A47" s="105" t="s">
        <v>12</v>
      </c>
      <c r="B47" s="107"/>
      <c r="C47" s="107"/>
      <c r="D47" s="107" t="s">
        <v>24</v>
      </c>
      <c r="E47" s="112">
        <f>+E45/496</f>
        <v>2.4193548387096775</v>
      </c>
      <c r="F47" s="74">
        <v>10.5</v>
      </c>
      <c r="G47" s="112">
        <f>+E47*F47</f>
        <v>25.403225806451612</v>
      </c>
      <c r="H47" s="113">
        <f>+G47/$E$8*100</f>
        <v>2.1169354838709675</v>
      </c>
      <c r="I47" s="3"/>
      <c r="J47" s="117" t="s">
        <v>75</v>
      </c>
      <c r="K47" s="118"/>
      <c r="L47" s="119">
        <v>1000</v>
      </c>
      <c r="M47" s="64">
        <v>190</v>
      </c>
      <c r="N47" s="66">
        <v>5.9</v>
      </c>
      <c r="O47" s="64">
        <v>30000</v>
      </c>
      <c r="P47" s="66">
        <v>12.25</v>
      </c>
      <c r="Q47" s="180">
        <f>+O47*P47/100</f>
        <v>3675</v>
      </c>
      <c r="R47" s="69">
        <v>100</v>
      </c>
      <c r="S47" s="182">
        <f>+Q47*R47/100/L15</f>
        <v>3.675</v>
      </c>
      <c r="T47" s="64">
        <v>800</v>
      </c>
      <c r="U47" s="184">
        <f t="shared" si="8"/>
        <v>800</v>
      </c>
      <c r="V47" s="182">
        <f>+U47/L15</f>
        <v>0.8</v>
      </c>
      <c r="W47" s="185">
        <f>IF(N47=0," ",1/N47)</f>
        <v>0.1694915254237288</v>
      </c>
      <c r="X47" s="182">
        <f>+M47*0.044</f>
        <v>8.36</v>
      </c>
      <c r="Y47" s="182">
        <f>IF(W47=" "," ",+X47*W47*1.15*L30)</f>
        <v>3.096033898305084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3.5" customHeight="1">
      <c r="A48" s="105" t="s">
        <v>13</v>
      </c>
      <c r="B48" s="107"/>
      <c r="C48" s="107"/>
      <c r="D48" s="107" t="s">
        <v>24</v>
      </c>
      <c r="E48" s="112">
        <f>+E45/496</f>
        <v>2.4193548387096775</v>
      </c>
      <c r="F48" s="195">
        <f>4.15+0.005*496*F8</f>
        <v>5.948</v>
      </c>
      <c r="G48" s="112">
        <f>+E48*F48</f>
        <v>14.390322580645163</v>
      </c>
      <c r="H48" s="113">
        <f>+G48/$E$8*100</f>
        <v>1.199193548387097</v>
      </c>
      <c r="I48" s="3"/>
      <c r="J48" s="119" t="s">
        <v>120</v>
      </c>
      <c r="K48" s="119"/>
      <c r="L48" s="119">
        <v>1000</v>
      </c>
      <c r="M48" s="64">
        <v>110</v>
      </c>
      <c r="N48" s="66">
        <v>5.9</v>
      </c>
      <c r="O48" s="64">
        <v>34000</v>
      </c>
      <c r="P48" s="66">
        <v>12.25</v>
      </c>
      <c r="Q48" s="180">
        <f>+O48*P48/100</f>
        <v>4165</v>
      </c>
      <c r="R48" s="69">
        <v>100</v>
      </c>
      <c r="S48" s="182">
        <f>+Q48*R48/100/L15</f>
        <v>4.165</v>
      </c>
      <c r="T48" s="64">
        <v>950</v>
      </c>
      <c r="U48" s="184">
        <f t="shared" si="8"/>
        <v>950</v>
      </c>
      <c r="V48" s="182">
        <f>+U48/L15</f>
        <v>0.95</v>
      </c>
      <c r="W48" s="185">
        <f>IF(N48=0," ",1/N48)</f>
        <v>0.1694915254237288</v>
      </c>
      <c r="X48" s="182">
        <f>+M48*0.044</f>
        <v>4.84</v>
      </c>
      <c r="Y48" s="182">
        <f>IF(W48=" "," ",+X48*W48*1.15*L30)</f>
        <v>1.7924406779661015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3.5" customHeight="1">
      <c r="A49" s="105" t="s">
        <v>121</v>
      </c>
      <c r="B49" s="107" t="s">
        <v>123</v>
      </c>
      <c r="C49" s="77">
        <v>0.4</v>
      </c>
      <c r="D49" s="107" t="s">
        <v>20</v>
      </c>
      <c r="E49" s="112">
        <f>+(((1-C49)-0.1)/C49)*E8/2000</f>
        <v>0.75</v>
      </c>
      <c r="F49" s="74">
        <v>175</v>
      </c>
      <c r="G49" s="112">
        <f>-E49*F49</f>
        <v>-131.25</v>
      </c>
      <c r="H49" s="113">
        <f>+G49/$E$8*100</f>
        <v>-10.9375</v>
      </c>
      <c r="I49" s="3"/>
      <c r="J49" s="193" t="s">
        <v>97</v>
      </c>
      <c r="K49" s="193"/>
      <c r="L49" s="190">
        <v>1000</v>
      </c>
      <c r="M49" s="190">
        <v>230</v>
      </c>
      <c r="N49" s="191">
        <v>10.5</v>
      </c>
      <c r="O49" s="190">
        <v>36000</v>
      </c>
      <c r="P49" s="192">
        <v>12.25</v>
      </c>
      <c r="Q49" s="180">
        <f>+O49*P49/100</f>
        <v>4410</v>
      </c>
      <c r="R49" s="69">
        <v>100</v>
      </c>
      <c r="S49" s="182">
        <f>+Q49*R49/100/L15</f>
        <v>4.41</v>
      </c>
      <c r="T49" s="64">
        <v>1000</v>
      </c>
      <c r="U49" s="184">
        <f t="shared" si="8"/>
        <v>1000</v>
      </c>
      <c r="V49" s="182">
        <f>+U49/L15</f>
        <v>1</v>
      </c>
      <c r="W49" s="185">
        <f>IF(N49=0," ",1/N49)</f>
        <v>0.09523809523809523</v>
      </c>
      <c r="X49" s="182">
        <f>+M49*0.044</f>
        <v>10.12</v>
      </c>
      <c r="Y49" s="182">
        <f>IF(W49=" "," ",+X49*W49*1.15*$L$30)</f>
        <v>2.105923809523809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3.5" customHeight="1">
      <c r="A50" s="99" t="s">
        <v>5</v>
      </c>
      <c r="B50" s="100"/>
      <c r="C50" s="100"/>
      <c r="D50" s="101" t="s">
        <v>24</v>
      </c>
      <c r="E50" s="102">
        <f>+E8/496</f>
        <v>2.4193548387096775</v>
      </c>
      <c r="F50" s="74">
        <v>0.75</v>
      </c>
      <c r="G50" s="102">
        <f>+E50*F50</f>
        <v>1.814516129032258</v>
      </c>
      <c r="H50" s="115">
        <f>+G50/$E$8*100</f>
        <v>0.15120967741935484</v>
      </c>
      <c r="I50" s="3"/>
      <c r="J50" s="196"/>
      <c r="K50" s="197"/>
      <c r="L50" s="190"/>
      <c r="M50" s="190"/>
      <c r="N50" s="191"/>
      <c r="O50" s="190"/>
      <c r="P50" s="190"/>
      <c r="Q50" s="119">
        <f>+O50*P50/100</f>
        <v>0</v>
      </c>
      <c r="R50" s="69"/>
      <c r="S50" s="182">
        <f>+Q50*R50/100/L15</f>
        <v>0</v>
      </c>
      <c r="T50" s="64"/>
      <c r="U50" s="184">
        <f t="shared" si="8"/>
        <v>0</v>
      </c>
      <c r="V50" s="182">
        <f>+U50/L15</f>
        <v>0</v>
      </c>
      <c r="W50" s="185" t="str">
        <f>IF(N50=0," ",1/N50)</f>
        <v> </v>
      </c>
      <c r="X50" s="182">
        <f>+M50*0.044</f>
        <v>0</v>
      </c>
      <c r="Y50" s="182" t="str">
        <f>IF(W50=" "," ",+X50*W50*1.15*$L$30)</f>
        <v> 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3.5" customHeight="1">
      <c r="A51" s="81" t="s">
        <v>14</v>
      </c>
      <c r="B51" s="103"/>
      <c r="C51" s="103"/>
      <c r="D51" s="104"/>
      <c r="E51" s="104"/>
      <c r="F51" s="104"/>
      <c r="G51" s="84">
        <f>SUM(G11:G50)</f>
        <v>496.5537419389182</v>
      </c>
      <c r="H51" s="116">
        <f>SUM(H11:H50)</f>
        <v>41.37947849490983</v>
      </c>
      <c r="I51" s="3"/>
      <c r="J51" s="189" t="s">
        <v>66</v>
      </c>
      <c r="K51" s="181"/>
      <c r="L51" s="181"/>
      <c r="M51" s="181"/>
      <c r="N51" s="181"/>
      <c r="O51" s="181"/>
      <c r="P51" s="181"/>
      <c r="Q51" s="181"/>
      <c r="R51" s="186">
        <f>+R34/100*Q34+R35/100*Q35+R36/100*Q36+R37/100*Q37+R38/100*Q38+R39/100*Q39+R40/100*Q40+R41/100*Q41+R42/100*Q42+R43/100*Q43+R44/100*Q44+R46/100*Q46+R47/100*Q47+R48/100*Q48+R49/100*Q49+R50/100*Q50</f>
        <v>17842.125</v>
      </c>
      <c r="S51" s="183">
        <f>SUM(S33:S50)</f>
        <v>16.77025</v>
      </c>
      <c r="T51" s="186">
        <f>SUM(T33:T50)</f>
        <v>4990</v>
      </c>
      <c r="U51" s="186">
        <f>SUM(U33:U50)</f>
        <v>4018</v>
      </c>
      <c r="V51" s="183">
        <f>SUM(V33:V50)</f>
        <v>4.018</v>
      </c>
      <c r="W51" s="187">
        <f>SUM(W33:W50)</f>
        <v>1.033950766747377</v>
      </c>
      <c r="X51" s="181"/>
      <c r="Y51" s="188">
        <f>SUM(Y33:Y50)</f>
        <v>21.091098534301853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3.5" customHeight="1">
      <c r="A52" s="81" t="s">
        <v>25</v>
      </c>
      <c r="B52" s="82"/>
      <c r="C52" s="82"/>
      <c r="D52" s="83"/>
      <c r="E52" s="83"/>
      <c r="F52" s="83"/>
      <c r="G52" s="84">
        <f>+G8-G51</f>
        <v>373.4462580610818</v>
      </c>
      <c r="H52" s="85">
        <f>+H8-H51</f>
        <v>31.120521505090167</v>
      </c>
      <c r="I52" s="3"/>
      <c r="J52" s="51" t="s">
        <v>109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6" ht="13.5" customHeight="1">
      <c r="A53" s="86"/>
      <c r="B53" s="87"/>
      <c r="C53" s="87"/>
      <c r="D53" s="87"/>
      <c r="E53" s="87"/>
      <c r="F53" s="87"/>
      <c r="G53" s="87"/>
      <c r="H53" s="88"/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6" ht="13.5" customHeight="1">
      <c r="A54" s="105" t="s">
        <v>26</v>
      </c>
      <c r="B54" s="106"/>
      <c r="C54" s="106"/>
      <c r="D54" s="107" t="s">
        <v>19</v>
      </c>
      <c r="E54" s="107">
        <v>1</v>
      </c>
      <c r="F54" s="112">
        <f>SUM(T19:T23)</f>
        <v>49.49322</v>
      </c>
      <c r="G54" s="112">
        <f aca="true" t="shared" si="9" ref="G54:G60">+E54*F54</f>
        <v>49.49322</v>
      </c>
      <c r="H54" s="113">
        <f aca="true" t="shared" si="10" ref="H54:H60">+G54/$E$8*100</f>
        <v>4.124435</v>
      </c>
      <c r="I54" s="3"/>
      <c r="J54" s="52" t="s">
        <v>89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136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5" ht="13.5" customHeight="1">
      <c r="A55" s="105" t="s">
        <v>33</v>
      </c>
      <c r="B55" s="106"/>
      <c r="C55" s="106"/>
      <c r="D55" s="107" t="s">
        <v>19</v>
      </c>
      <c r="E55" s="107">
        <v>1</v>
      </c>
      <c r="F55" s="112">
        <f>SUM(S35:S50)-S46-S47-S48-S50</f>
        <v>5.86775</v>
      </c>
      <c r="G55" s="112">
        <f t="shared" si="9"/>
        <v>5.86775</v>
      </c>
      <c r="H55" s="113">
        <f t="shared" si="10"/>
        <v>0.48897916666666663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5" ht="13.5" customHeight="1">
      <c r="A56" s="198" t="s">
        <v>145</v>
      </c>
      <c r="B56" s="198"/>
      <c r="C56" s="198"/>
      <c r="D56" s="199" t="s">
        <v>19</v>
      </c>
      <c r="E56" s="198">
        <v>1</v>
      </c>
      <c r="F56" s="76">
        <v>125</v>
      </c>
      <c r="G56" s="112">
        <f t="shared" si="9"/>
        <v>125</v>
      </c>
      <c r="H56" s="113">
        <f t="shared" si="10"/>
        <v>10.416666666666668</v>
      </c>
      <c r="I56" s="3"/>
      <c r="J56" s="226" t="s">
        <v>92</v>
      </c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7"/>
      <c r="Y56" s="228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5" ht="13.5" customHeight="1">
      <c r="A57" s="105" t="s">
        <v>77</v>
      </c>
      <c r="B57" s="106"/>
      <c r="C57" s="106"/>
      <c r="D57" s="107" t="s">
        <v>19</v>
      </c>
      <c r="E57" s="107">
        <v>1</v>
      </c>
      <c r="F57" s="112">
        <f>+T25+S47+S48</f>
        <v>72.0565</v>
      </c>
      <c r="G57" s="112">
        <f t="shared" si="9"/>
        <v>72.0565</v>
      </c>
      <c r="H57" s="113">
        <f t="shared" si="10"/>
        <v>6.004708333333333</v>
      </c>
      <c r="I57" s="3"/>
      <c r="J57" s="224" t="s">
        <v>141</v>
      </c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2"/>
      <c r="Y57" s="225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5" ht="13.5" customHeight="1">
      <c r="A58" s="105" t="s">
        <v>27</v>
      </c>
      <c r="B58" s="106"/>
      <c r="C58" s="106"/>
      <c r="D58" s="107" t="s">
        <v>19</v>
      </c>
      <c r="E58" s="107">
        <v>1</v>
      </c>
      <c r="F58" s="74">
        <v>0</v>
      </c>
      <c r="G58" s="112">
        <f t="shared" si="9"/>
        <v>0</v>
      </c>
      <c r="H58" s="113">
        <f t="shared" si="10"/>
        <v>0</v>
      </c>
      <c r="I58" s="3"/>
      <c r="J58" s="203" t="s">
        <v>142</v>
      </c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5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5" ht="13.5" customHeight="1">
      <c r="A59" s="105" t="s">
        <v>28</v>
      </c>
      <c r="B59" s="106"/>
      <c r="C59" s="106"/>
      <c r="D59" s="107" t="s">
        <v>47</v>
      </c>
      <c r="E59" s="108">
        <f>+G51</f>
        <v>496.5537419389182</v>
      </c>
      <c r="F59" s="78">
        <v>0.05</v>
      </c>
      <c r="G59" s="112">
        <f t="shared" si="9"/>
        <v>24.827687096945912</v>
      </c>
      <c r="H59" s="113">
        <f t="shared" si="10"/>
        <v>2.068973924745493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5" ht="13.5" customHeight="1">
      <c r="A60" s="99" t="s">
        <v>29</v>
      </c>
      <c r="B60" s="100"/>
      <c r="C60" s="100"/>
      <c r="D60" s="101" t="s">
        <v>47</v>
      </c>
      <c r="E60" s="109">
        <f>+G51</f>
        <v>496.5537419389182</v>
      </c>
      <c r="F60" s="78">
        <v>0.05</v>
      </c>
      <c r="G60" s="102">
        <f t="shared" si="9"/>
        <v>24.827687096945912</v>
      </c>
      <c r="H60" s="115">
        <f t="shared" si="10"/>
        <v>2.068973924745493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5" ht="13.5" customHeight="1">
      <c r="A61" s="81" t="s">
        <v>30</v>
      </c>
      <c r="B61" s="82"/>
      <c r="C61" s="82"/>
      <c r="D61" s="83"/>
      <c r="E61" s="83"/>
      <c r="F61" s="83"/>
      <c r="G61" s="84">
        <f>SUM(G54:G60)</f>
        <v>302.07284419389185</v>
      </c>
      <c r="H61" s="85">
        <f>SUM(H54:H60)</f>
        <v>25.172737016157654</v>
      </c>
      <c r="I61" s="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5" ht="13.5" customHeight="1">
      <c r="A62" s="86"/>
      <c r="B62" s="87"/>
      <c r="C62" s="87"/>
      <c r="D62" s="87"/>
      <c r="E62" s="87"/>
      <c r="F62" s="87"/>
      <c r="G62" s="87"/>
      <c r="H62" s="88"/>
      <c r="I62" s="3"/>
      <c r="J62" s="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5" ht="13.5" customHeight="1">
      <c r="A63" s="81" t="s">
        <v>31</v>
      </c>
      <c r="B63" s="82"/>
      <c r="C63" s="82"/>
      <c r="D63" s="83"/>
      <c r="E63" s="83"/>
      <c r="F63" s="83"/>
      <c r="G63" s="84">
        <f>+G51+G61</f>
        <v>798.6265861328101</v>
      </c>
      <c r="H63" s="85">
        <f>+H51+H61</f>
        <v>66.55221551106749</v>
      </c>
      <c r="I63" s="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5" ht="13.5" customHeight="1">
      <c r="A64" s="81" t="s">
        <v>32</v>
      </c>
      <c r="B64" s="82"/>
      <c r="C64" s="82"/>
      <c r="D64" s="83"/>
      <c r="E64" s="83"/>
      <c r="F64" s="83"/>
      <c r="G64" s="84">
        <f>+G8-G63</f>
        <v>71.37341386718992</v>
      </c>
      <c r="H64" s="85">
        <f>+H8-H63</f>
        <v>5.947784488932513</v>
      </c>
      <c r="I64" s="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5" ht="13.5" customHeight="1">
      <c r="A65" s="89" t="s">
        <v>146</v>
      </c>
      <c r="B65" s="87"/>
      <c r="C65" s="87"/>
      <c r="D65" s="87"/>
      <c r="E65" s="87"/>
      <c r="F65" s="87"/>
      <c r="G65" s="87"/>
      <c r="H65" s="88"/>
      <c r="I65" s="3"/>
      <c r="J65" s="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5" ht="13.5" customHeight="1">
      <c r="A66" s="89" t="s">
        <v>135</v>
      </c>
      <c r="B66" s="90"/>
      <c r="C66" s="90"/>
      <c r="D66" s="90"/>
      <c r="E66" s="90"/>
      <c r="F66" s="90"/>
      <c r="G66" s="91"/>
      <c r="H66" s="92"/>
      <c r="I66" s="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5" ht="13.5" customHeight="1">
      <c r="A67" s="200"/>
      <c r="B67" s="87"/>
      <c r="C67" s="87"/>
      <c r="D67" s="87"/>
      <c r="E67" s="87"/>
      <c r="F67" s="87"/>
      <c r="G67" s="87"/>
      <c r="H67" s="88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5" ht="13.5" customHeight="1">
      <c r="A68" s="93" t="s">
        <v>90</v>
      </c>
      <c r="B68" s="94"/>
      <c r="C68" s="94"/>
      <c r="D68" s="94"/>
      <c r="E68" s="94"/>
      <c r="F68" s="87"/>
      <c r="G68" s="87"/>
      <c r="H68" s="88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5" ht="13.5" customHeight="1">
      <c r="A69" s="95" t="s">
        <v>136</v>
      </c>
      <c r="B69" s="94"/>
      <c r="C69" s="94"/>
      <c r="D69" s="94"/>
      <c r="E69" s="94"/>
      <c r="F69" s="87"/>
      <c r="G69" s="87"/>
      <c r="H69" s="88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5" ht="13.5" customHeight="1">
      <c r="A70" s="201" t="s">
        <v>137</v>
      </c>
      <c r="B70" s="96"/>
      <c r="C70" s="96"/>
      <c r="D70" s="96"/>
      <c r="E70" s="96"/>
      <c r="F70" s="97"/>
      <c r="G70" s="97"/>
      <c r="H70" s="98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5" ht="16.5" customHeight="1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0" ht="13.5" customHeight="1">
      <c r="A72" s="44"/>
      <c r="B72" s="44"/>
      <c r="C72" s="44"/>
      <c r="D72" s="44"/>
      <c r="E72" s="44"/>
      <c r="F72" s="44"/>
      <c r="G72" s="44"/>
      <c r="H72" s="44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2"/>
      <c r="AB72" s="2"/>
      <c r="AC72" s="2"/>
      <c r="AD72" s="2"/>
    </row>
    <row r="73" spans="1:35" ht="13.5" customHeight="1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5" ht="13.5" customHeight="1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5" ht="13.5" customHeight="1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5" ht="13.5" customHeight="1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5" ht="12" customHeight="1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5" ht="15" customHeight="1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5" ht="15" customHeight="1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5" ht="15" customHeight="1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ht="12.75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J57:Y57"/>
    <mergeCell ref="J56:Y56"/>
    <mergeCell ref="J45:K45"/>
    <mergeCell ref="A1:H1"/>
    <mergeCell ref="B5:C5"/>
    <mergeCell ref="A2:H2"/>
    <mergeCell ref="J20:K20"/>
    <mergeCell ref="J21:K21"/>
    <mergeCell ref="J37:K37"/>
    <mergeCell ref="J43:K43"/>
    <mergeCell ref="J44:K44"/>
    <mergeCell ref="J19:K19"/>
    <mergeCell ref="M16:P16"/>
    <mergeCell ref="Q16:T16"/>
    <mergeCell ref="U16:W16"/>
    <mergeCell ref="J33:K33"/>
    <mergeCell ref="T31:V31"/>
    <mergeCell ref="J58:Y58"/>
    <mergeCell ref="J1:Y1"/>
    <mergeCell ref="J2:Y2"/>
    <mergeCell ref="L4:U4"/>
    <mergeCell ref="P5:R5"/>
    <mergeCell ref="S5:U5"/>
    <mergeCell ref="O31:Q31"/>
    <mergeCell ref="R31:S31"/>
    <mergeCell ref="W31:Y31"/>
    <mergeCell ref="M5:O5"/>
  </mergeCells>
  <printOptions horizontalCentered="1" verticalCentered="1"/>
  <pageMargins left="0.25" right="0.25" top="0.375" bottom="0.375" header="0" footer="0"/>
  <pageSetup fitToHeight="1" fitToWidth="1" horizontalDpi="600" verticalDpi="600" orientation="landscape" scale="46" r:id="rId2"/>
  <colBreaks count="1" manualBreakCount="1">
    <brk id="9" max="72" man="1"/>
  </colBreaks>
  <ignoredErrors>
    <ignoredError sqref="G13:H13 G24 H46 G49" formula="1"/>
    <ignoredError sqref="H5 F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UGA\CAES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dshurley</dc:creator>
  <cp:keywords/>
  <dc:description/>
  <cp:lastModifiedBy>setup</cp:lastModifiedBy>
  <cp:lastPrinted>2017-03-09T15:46:03Z</cp:lastPrinted>
  <dcterms:created xsi:type="dcterms:W3CDTF">2005-11-29T13:52:22Z</dcterms:created>
  <dcterms:modified xsi:type="dcterms:W3CDTF">2017-03-30T19:52:52Z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